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0" windowWidth="10110" windowHeight="8925" tabRatio="936" firstSheet="1" activeTab="20"/>
  </bookViews>
  <sheets>
    <sheet name="Bìa" sheetId="1" state="hidden" r:id="rId1"/>
    <sheet name="Bia" sheetId="2" r:id="rId2"/>
    <sheet name="1. Chi tieu KT" sheetId="3" r:id="rId3"/>
    <sheet name="Thap" sheetId="4" r:id="rId4"/>
    <sheet name="Cao" sheetId="5" r:id="rId5"/>
    <sheet name="2. CN NN DV" sheetId="6" r:id="rId6"/>
    <sheet name="3. XH" sheetId="7" r:id="rId7"/>
    <sheet name="4. MT" sheetId="8" r:id="rId8"/>
    <sheet name="5.PTDN" sheetId="9" r:id="rId9"/>
    <sheet name="6.FDI" sheetId="10" r:id="rId10"/>
    <sheet name="9. Nhom A DP" sheetId="11" state="hidden" r:id="rId11"/>
    <sheet name="10.TPCP-DP" sheetId="12" state="hidden" r:id="rId12"/>
    <sheet name="11. TƯV" sheetId="13" state="hidden" r:id="rId13"/>
    <sheet name="12.No XDCB" sheetId="14" state="hidden" r:id="rId14"/>
    <sheet name="7.CTMT QG" sheetId="15" r:id="rId15"/>
    <sheet name="8.QH" sheetId="16" r:id="rId16"/>
    <sheet name="9.DTPT" sheetId="17" r:id="rId17"/>
    <sheet name="NQ HDND 2014" sheetId="18" r:id="rId18"/>
    <sheet name="06-NQTU" sheetId="19" r:id="rId19"/>
    <sheet name="NQTU-2015" sheetId="20" r:id="rId20"/>
    <sheet name="Th 2010-nay" sheetId="21" r:id="rId21"/>
  </sheets>
  <externalReferences>
    <externalReference r:id="rId24"/>
    <externalReference r:id="rId25"/>
    <externalReference r:id="rId26"/>
    <externalReference r:id="rId27"/>
    <externalReference r:id="rId28"/>
    <externalReference r:id="rId29"/>
  </externalReferences>
  <definedNames>
    <definedName name="_1">#REF!</definedName>
    <definedName name="_2">#REF!</definedName>
    <definedName name="_CON1">#REF!</definedName>
    <definedName name="_CON2">#REF!</definedName>
    <definedName name="_Fill" hidden="1">#REF!</definedName>
    <definedName name="_NET2">#REF!</definedName>
    <definedName name="_Order1" hidden="1">255</definedName>
    <definedName name="_Order2" hidden="1">255</definedName>
    <definedName name="_QL10">#REF!</definedName>
    <definedName name="_Sort" hidden="1">#REF!</definedName>
    <definedName name="BaiChay">#REF!</definedName>
    <definedName name="BOQ">#REF!</definedName>
    <definedName name="BVCISUMMARY">#REF!</definedName>
    <definedName name="CauQL1GD2">#REF!</definedName>
    <definedName name="CauQL1GD3">#REF!</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đ" localSheetId="4" hidden="1">{"'Sheet1'!$L$16"}</definedName>
    <definedName name="dđ" localSheetId="19" hidden="1">{"'Sheet1'!$L$16"}</definedName>
    <definedName name="dđ" localSheetId="3" hidden="1">{"'Sheet1'!$L$16"}</definedName>
    <definedName name="dđ" hidden="1">{"'Sheet1'!$L$16"}</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ia_tien_BTN">#REF!</definedName>
    <definedName name="GTNT1">#REF!</definedName>
    <definedName name="GTNT2">#REF!</definedName>
    <definedName name="h" localSheetId="4" hidden="1">{"'Sheet1'!$L$16"}</definedName>
    <definedName name="h" localSheetId="19" hidden="1">{"'Sheet1'!$L$16"}</definedName>
    <definedName name="h" localSheetId="3" hidden="1">{"'Sheet1'!$L$16"}</definedName>
    <definedName name="h" hidden="1">{"'Sheet1'!$L$16"}</definedName>
    <definedName name="HOME_MANP">#REF!</definedName>
    <definedName name="HOMEOFFICE_COST">#REF!</definedName>
    <definedName name="HTML_CodePage" hidden="1">950</definedName>
    <definedName name="HTML_Control" localSheetId="4" hidden="1">{"'Sheet1'!$L$16"}</definedName>
    <definedName name="HTML_Control" localSheetId="19"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4" hidden="1">{"'Sheet1'!$L$16"}</definedName>
    <definedName name="huy" localSheetId="19" hidden="1">{"'Sheet1'!$L$16"}</definedName>
    <definedName name="huy" localSheetId="3" hidden="1">{"'Sheet1'!$L$16"}</definedName>
    <definedName name="huy" hidden="1">{"'Sheet1'!$L$16"}</definedName>
    <definedName name="IDLAB_COST">#REF!</definedName>
    <definedName name="INDMANP">#REF!</definedName>
    <definedName name="kiem">#REF!</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_xlnm.Print_Area" localSheetId="2">'1. Chi tieu KT'!$A$1:$M$78</definedName>
    <definedName name="_xlnm.Print_Area" localSheetId="11">'10.TPCP-DP'!$A$1:$AD$61</definedName>
    <definedName name="_xlnm.Print_Area" localSheetId="12">'11. TƯV'!$A$1:$I$27</definedName>
    <definedName name="_xlnm.Print_Area" localSheetId="13">'12.No XDCB'!$A$1:$O$27</definedName>
    <definedName name="_xlnm.Print_Area" localSheetId="5">'2. CN NN DV'!$A$1:$M$142</definedName>
    <definedName name="_xlnm.Print_Area" localSheetId="9">'6.FDI'!$A$1:$I$40</definedName>
    <definedName name="_xlnm.Print_Area" localSheetId="14">'7.CTMT QG'!$A$1:$L$146</definedName>
    <definedName name="_xlnm.Print_Area" localSheetId="10">'9. Nhom A DP'!$A$1:$AQ$75</definedName>
    <definedName name="_xlnm.Print_Area" localSheetId="16">'9.DTPT'!$A$1:$K$28</definedName>
    <definedName name="_xlnm.Print_Area" localSheetId="0">'Bìa'!$B$1:$H$13</definedName>
    <definedName name="_xlnm.Print_Area" localSheetId="4">'Cao'!$A$1:$M$78</definedName>
    <definedName name="_xlnm.Print_Area" localSheetId="3">'Thap'!$A$1:$M$78</definedName>
    <definedName name="PRINT_AREA_MI">#REF!</definedName>
    <definedName name="_xlnm.Print_Titles" localSheetId="2">'1. Chi tieu KT'!$5:$7</definedName>
    <definedName name="_xlnm.Print_Titles" localSheetId="11">'10.TPCP-DP'!$4:$7</definedName>
    <definedName name="_xlnm.Print_Titles" localSheetId="13">'12.No XDCB'!$5:$6</definedName>
    <definedName name="_xlnm.Print_Titles" localSheetId="5">'2. CN NN DV'!$5:$7</definedName>
    <definedName name="_xlnm.Print_Titles" localSheetId="6">'3. XH'!$5:$7</definedName>
    <definedName name="_xlnm.Print_Titles" localSheetId="7">'4. MT'!$7:$7</definedName>
    <definedName name="_xlnm.Print_Titles" localSheetId="8">'5.PTDN'!$5:$6</definedName>
    <definedName name="_xlnm.Print_Titles" localSheetId="9">'6.FDI'!$4:$5</definedName>
    <definedName name="_xlnm.Print_Titles" localSheetId="14">'7.CTMT QG'!$5:$6</definedName>
    <definedName name="_xlnm.Print_Titles" localSheetId="15">'8.QH'!$6:$8</definedName>
    <definedName name="_xlnm.Print_Titles" localSheetId="10">'9. Nhom A DP'!$4:$8</definedName>
    <definedName name="_xlnm.Print_Titles" localSheetId="4">'Cao'!$5:$7</definedName>
    <definedName name="_xlnm.Print_Titles" localSheetId="17">'NQ HDND 2014'!$2:$2</definedName>
    <definedName name="_xlnm.Print_Titles" localSheetId="3">'Thap'!$5:$7</definedName>
    <definedName name="_xlnm.Print_Titles">#N/A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ien">#REF!</definedName>
    <definedName name="Tonghop">#REF!</definedName>
    <definedName name="Tra_don_gia_KS">#REF!</definedName>
    <definedName name="ty_le_BTN">#REF!</definedName>
    <definedName name="VARIINST">#REF!</definedName>
    <definedName name="VARIPURC">#REF!</definedName>
    <definedName name="W">#REF!</definedName>
    <definedName name="X">#REF!</definedName>
    <definedName name="ZYX">#REF!</definedName>
    <definedName name="ZZZ">#REF!</definedName>
  </definedNames>
  <calcPr fullCalcOnLoad="1"/>
</workbook>
</file>

<file path=xl/comments7.xml><?xml version="1.0" encoding="utf-8"?>
<comments xmlns="http://schemas.openxmlformats.org/spreadsheetml/2006/main">
  <authors>
    <author>Administrator</author>
  </authors>
  <commentList>
    <comment ref="H55" authorId="0">
      <text>
        <r>
          <rPr>
            <b/>
            <sz val="8"/>
            <rFont val="Tahoma"/>
            <family val="2"/>
          </rPr>
          <t>Administrator:</t>
        </r>
        <r>
          <rPr>
            <sz val="8"/>
            <rFont val="Tahoma"/>
            <family val="2"/>
          </rPr>
          <t xml:space="preserve">
Tương đương 129 xã, phường</t>
        </r>
      </text>
    </comment>
    <comment ref="H25" authorId="0">
      <text>
        <r>
          <rPr>
            <b/>
            <sz val="8"/>
            <rFont val="Tahoma"/>
            <family val="2"/>
          </rPr>
          <t>Administrator:</t>
        </r>
        <r>
          <rPr>
            <sz val="8"/>
            <rFont val="Tahoma"/>
            <family val="2"/>
          </rPr>
          <t xml:space="preserve">
Theo chuẩn mới 2015-2020 KV Thành thị 1,2 triệu đồng/người/tháng, KV Nông thôn 1 triệu đồng/người/tháng. Tỷ lệ hộ nghèo đầu năm 2015 là 7,45% (khoảng 56.000 hộ) giảm xuống cuối năm còn 6,65% (giảm 5.000 hộ)</t>
        </r>
      </text>
    </comment>
  </commentList>
</comments>
</file>

<file path=xl/sharedStrings.xml><?xml version="1.0" encoding="utf-8"?>
<sst xmlns="http://schemas.openxmlformats.org/spreadsheetml/2006/main" count="2980" uniqueCount="1243">
  <si>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</si>
  <si>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</si>
  <si>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</si>
  <si>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</si>
  <si>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</si>
  <si>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</si>
  <si>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</si>
  <si>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</si>
  <si>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</si>
  <si>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</si>
  <si>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</si>
  <si>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</si>
  <si>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</si>
  <si>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</si>
  <si>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</si>
  <si>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</si>
  <si>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</si>
  <si>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</si>
  <si>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</si>
  <si>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</si>
  <si>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</si>
  <si>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</si>
  <si>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</si>
  <si>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</si>
  <si>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</si>
  <si>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Thực hiện  2010</t>
  </si>
  <si>
    <r>
      <t xml:space="preserve">Tổng sản phẩm trên địa bàn - GRDP </t>
    </r>
    <r>
      <rPr>
        <i/>
        <sz val="13"/>
        <rFont val="Times New Roman"/>
        <family val="1"/>
      </rPr>
      <t>(giá cố định năm 1994)</t>
    </r>
  </si>
  <si>
    <r>
      <t xml:space="preserve">Tổng sản phẩm trên địa bàn - GRDP  </t>
    </r>
    <r>
      <rPr>
        <i/>
        <sz val="13"/>
        <rFont val="Times New Roman"/>
        <family val="1"/>
      </rPr>
      <t>(giá cố định năm 2010)</t>
    </r>
  </si>
  <si>
    <r>
      <t xml:space="preserve">Tổng sản phẩm trên địa bàn - GRDP  </t>
    </r>
    <r>
      <rPr>
        <i/>
        <sz val="13"/>
        <rFont val="Times New Roman"/>
        <family val="1"/>
      </rPr>
      <t>(giá hiện hành)</t>
    </r>
  </si>
  <si>
    <t>Nghìn ha</t>
  </si>
  <si>
    <r>
      <rPr>
        <i/>
        <sz val="12"/>
        <rFont val="Times New Roman"/>
        <family val="1"/>
      </rPr>
      <t>Trong đó</t>
    </r>
    <r>
      <rPr>
        <sz val="12"/>
        <rFont val="Times New Roman"/>
        <family val="1"/>
      </rPr>
      <t>: Gỗ rừng trồng</t>
    </r>
  </si>
  <si>
    <t xml:space="preserve"> - Thịt bò hơi xuất chuồng</t>
  </si>
  <si>
    <r>
      <t xml:space="preserve">Trong đó: </t>
    </r>
    <r>
      <rPr>
        <sz val="12"/>
        <rFont val="Times New Roman"/>
        <family val="1"/>
      </rPr>
      <t>- Sản lượng tôm</t>
    </r>
  </si>
  <si>
    <t>+ Sản lượng khai thác thủy sản</t>
  </si>
  <si>
    <r>
      <t>1000 m</t>
    </r>
    <r>
      <rPr>
        <vertAlign val="superscript"/>
        <sz val="10"/>
        <rFont val="Times New Roman"/>
        <family val="1"/>
      </rPr>
      <t>2</t>
    </r>
  </si>
  <si>
    <r>
      <t>m</t>
    </r>
    <r>
      <rPr>
        <vertAlign val="superscript"/>
        <sz val="10"/>
        <rFont val="Times New Roman"/>
        <family val="1"/>
      </rPr>
      <t>3</t>
    </r>
  </si>
  <si>
    <r>
      <t>1000 m</t>
    </r>
    <r>
      <rPr>
        <vertAlign val="superscript"/>
        <sz val="10"/>
        <rFont val="Times New Roman"/>
        <family val="1"/>
      </rPr>
      <t>3</t>
    </r>
  </si>
  <si>
    <t>- Tổng mức bán lẻ hàng hóa dịch vụ</t>
  </si>
  <si>
    <t xml:space="preserve">      - Thương nghiệp quốc doanh</t>
  </si>
  <si>
    <t xml:space="preserve">      - Thương nghiệp NQDoanh</t>
  </si>
  <si>
    <t xml:space="preserve">      - Khu vực có vốn ĐTNN</t>
  </si>
  <si>
    <t>a. Xuất khẩu</t>
  </si>
  <si>
    <t xml:space="preserve"> * Một số mặt hàng xuất khẩu chủ yếu</t>
  </si>
  <si>
    <t>1. Hàng thủy sản</t>
  </si>
  <si>
    <t xml:space="preserve">Tấn </t>
  </si>
  <si>
    <t>2. Hạt điều</t>
  </si>
  <si>
    <t>3. Cà phê</t>
  </si>
  <si>
    <t>4. Hạt tiêu</t>
  </si>
  <si>
    <t>1.000 USD</t>
  </si>
  <si>
    <t>5. Hóa chất</t>
  </si>
  <si>
    <t>6. Chất dẻo nguyên liệu</t>
  </si>
  <si>
    <t>7. Sản phẩm từ chất dẻo</t>
  </si>
  <si>
    <t>8. Cao su</t>
  </si>
  <si>
    <t>9. Túi xách, ví, vali, mũ và ô dù</t>
  </si>
  <si>
    <t>10. Sản phẩm gỗ</t>
  </si>
  <si>
    <t>11. Xơ, sợi dệt các loại</t>
  </si>
  <si>
    <t>12. Hàng dệt, may</t>
  </si>
  <si>
    <t>13. Giày, dép các loại</t>
  </si>
  <si>
    <t>14. Nguyên phụ liệu dệt may, da giày</t>
  </si>
  <si>
    <t>15. Sản phẩm gốm, sứ</t>
  </si>
  <si>
    <t>16. Sắt, thép</t>
  </si>
  <si>
    <t>17. Sản phẩm từ sắt, thép</t>
  </si>
  <si>
    <t>18. Máy vi tính, sản phẩm điện tử
và linh kiện</t>
  </si>
  <si>
    <t>19. Máy móc thiết bị và dụng cụ 
phụ tùng</t>
  </si>
  <si>
    <t>20. Dây điện và dây cáp điện</t>
  </si>
  <si>
    <t>21. Phương tiện vận tải và phụ tùng</t>
  </si>
  <si>
    <t>b. Nhập khẩu</t>
  </si>
  <si>
    <t xml:space="preserve"> * Một số mặt hàng nhập khẩu chủ yếu</t>
  </si>
  <si>
    <t>1. Ngô</t>
  </si>
  <si>
    <t>2. Thức ăn gia súc</t>
  </si>
  <si>
    <t>3. Nguyên phụ liệu thuốc lá</t>
  </si>
  <si>
    <t>4. Khí đốt hóa lỏng</t>
  </si>
  <si>
    <t>6. Sản phẩm hóa chất</t>
  </si>
  <si>
    <t>7. Dược phẩm</t>
  </si>
  <si>
    <t>8. Phân bón các loại</t>
  </si>
  <si>
    <t>9. Thuốc trừ sâu và nguyên liệu</t>
  </si>
  <si>
    <t>10. Chất dẻo nguyên liệu</t>
  </si>
  <si>
    <t>11. Sản phẩm từ chất dẻo</t>
  </si>
  <si>
    <t>12. Gỗ và sản phẩm từ gỗ</t>
  </si>
  <si>
    <t>13. Giấy các loại</t>
  </si>
  <si>
    <t>14. Bông các lọai</t>
  </si>
  <si>
    <t>15. Xơ, sợi dệt các loại</t>
  </si>
  <si>
    <t>16. Vải các loại</t>
  </si>
  <si>
    <t>17. Nguyên phụ liệu dệt may, da giày</t>
  </si>
  <si>
    <t>18. Sắt thép các loại</t>
  </si>
  <si>
    <t>19. Sản phẩm từ sắt thép</t>
  </si>
  <si>
    <t>20. Kim loại thường khác</t>
  </si>
  <si>
    <t>21. Máy vi tính, sản phẩm điện tử
và linh kiện</t>
  </si>
  <si>
    <t>22. Máy móc thiết bị, DCPT khác</t>
  </si>
  <si>
    <t>23. Linh kiện, phụ tùng ô tô</t>
  </si>
  <si>
    <t>- Tỷ lệ dân số tham bảo hiểm y tế</t>
  </si>
  <si>
    <t>&lt;10</t>
  </si>
  <si>
    <t>&lt;8</t>
  </si>
  <si>
    <t>Cột (26) là lũy kế giải ngân từng dự án từ các nguồn vốn từ 1/1/2012 đến hết năm 2012</t>
  </si>
  <si>
    <t>Cột (27) là lũy kế giải ngân phần vốn TPCP kế hoạch năm 2012 từ 1/1/2012 đến hết năm 2012</t>
  </si>
  <si>
    <t>Ước thực hiện</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</si>
  <si>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</si>
  <si>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</si>
  <si>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</si>
  <si>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</si>
  <si>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</si>
  <si>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</si>
  <si>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 Vốn đầu tư trực tiếp nước ngoài (FDI)</t>
  </si>
  <si>
    <t>ĐẦU TƯ TRỰC TIẾP NƯỚC NGOÀI</t>
  </si>
  <si>
    <t>Tuổi</t>
  </si>
  <si>
    <t>CÁC CHỈ TIÊU MÔI TRƯỜNG VÀ PHÁT TRIỂN BỀN VỮNG</t>
  </si>
  <si>
    <t>Tỷ lệ chất thải rắn ở đô thị được thu gom</t>
  </si>
  <si>
    <t xml:space="preserve">Trong đó: Xuất khẩu địa phương (quản lý) </t>
  </si>
  <si>
    <t xml:space="preserve">Trong đó: Nhập khẩu địa phương (quản lý) </t>
  </si>
  <si>
    <t>Chi đầu tư phát triển do địa phương quản lý</t>
  </si>
  <si>
    <t>- Chi cho sự nghiệp giáo dục</t>
  </si>
  <si>
    <t>- Chi cho sự nghiệp y tế</t>
  </si>
  <si>
    <t>- Chi cho sự nghiệp khoa học công nghệ</t>
  </si>
  <si>
    <t>- Chi cho quản lý hành chính Nhà nước</t>
  </si>
  <si>
    <t>+ Bên Việt Nam</t>
  </si>
  <si>
    <t>+ Bên nước ngoài</t>
  </si>
  <si>
    <t>Trong đó: Đầu tư từ nguồn sử dụng đất</t>
  </si>
  <si>
    <t>- Nông, lâm nghiệp, thuỷ sản</t>
  </si>
  <si>
    <t>- Công nghiệp và xây dựng</t>
  </si>
  <si>
    <t>+ Công nghiệp và xây dựng</t>
  </si>
  <si>
    <t>+ Dịch vụ</t>
  </si>
  <si>
    <t>+ Nông, lâm nghiệp, thuỷ sản</t>
  </si>
  <si>
    <t>CÁC CHỈ TIÊU KINH TẾ TỔNG HỢP</t>
  </si>
  <si>
    <t>- Dân số trung bình</t>
  </si>
  <si>
    <t>- Mức giảm tỷ lệ sinh</t>
  </si>
  <si>
    <t>- Tỷ số giới tính khi sinh (số bé trai so với 100 bé gái)</t>
  </si>
  <si>
    <t>- Tuổi thọ trung bình</t>
  </si>
  <si>
    <t>- Tổng số lao động đang làm việc</t>
  </si>
  <si>
    <t>- Số lao động được tạo việc làm</t>
  </si>
  <si>
    <t>- Số lao động đi làm việc ở nước ngoài theo hợp đồng</t>
  </si>
  <si>
    <t>- Tỷ lệ lao động được đào tạo so với tổng số lao động</t>
  </si>
  <si>
    <t xml:space="preserve">- Tổng số hộ của toàn tỉnh/thành phố </t>
  </si>
  <si>
    <t xml:space="preserve">- Tổng số xã của toàn tỉnh/thành phố </t>
  </si>
  <si>
    <t>- Số giường bệnh/10.000 dân (không tính giường trạm y tế xã)</t>
  </si>
  <si>
    <t>- Số bác sỹ/10.000 dân</t>
  </si>
  <si>
    <t>- Tỷ lệ tử vong trẻ em dưới 5 tuổi</t>
  </si>
  <si>
    <t>- Tỷ lệ tử vong trẻ em dưới 1 tuổi</t>
  </si>
  <si>
    <t>- Số xã phường có nhà văn hoá, thư viện</t>
  </si>
  <si>
    <t>- Số hộ xem được Đài Truyền hình  Việt Nam</t>
  </si>
  <si>
    <t>- Tỷ lệ hộ xem được Đài Truyền hình Việt Nam</t>
  </si>
  <si>
    <t>- Số hộ nghe được Đài Tiếng nói Việt Nam</t>
  </si>
  <si>
    <t>- Tỷ lệ hộ nghe được Đài Tiếng nói Việt Nam</t>
  </si>
  <si>
    <t>xã, phường</t>
  </si>
  <si>
    <t>- Số xã, phường đạt tiêu chuẩn phù hợp với trẻ em</t>
  </si>
  <si>
    <t>- Tỷ lệ xã, phường đạt tiêu chuẩn xã, phường phù hợp với trẻ em</t>
  </si>
  <si>
    <t>VĂN HOÁ</t>
  </si>
  <si>
    <t>Y TẾ - XÃ HỘI</t>
  </si>
  <si>
    <t>GIÁO DỤC VÀ ĐÀO TẠO</t>
  </si>
  <si>
    <t>- Tỷ lệ hộ được sử dụng điện</t>
  </si>
  <si>
    <t>GIẢM NGHÈO</t>
  </si>
  <si>
    <t>CUNG CẤP CÁC DỊCH VỤ CƠ SỞ HẠ TẦNG THIẾT YẾU</t>
  </si>
  <si>
    <t>LAO ĐỘNG VÀ VIỆC LÀM</t>
  </si>
  <si>
    <t>DÂN SỐ</t>
  </si>
  <si>
    <t>người</t>
  </si>
  <si>
    <t>Triệu đồng</t>
  </si>
  <si>
    <t>NÔNG, LÂM NGHIỆP VÀ THUỶ SẢN</t>
  </si>
  <si>
    <t>DỊCH VỤ</t>
  </si>
  <si>
    <t>- Sản lượng đánh bắt và nuôi trồng thuỷ, hải sản</t>
  </si>
  <si>
    <t>+ Sản lượng nuôi trồng thuỷ  sản</t>
  </si>
  <si>
    <t>PHÁT TRIỂN DOANH NGHIỆP</t>
  </si>
  <si>
    <t>PHÁT TRIỂN KINH TẾ TẬP THỂ</t>
  </si>
  <si>
    <t>Ước thực hiện 6 tháng</t>
  </si>
  <si>
    <t>Ước thực hiện cả năm</t>
  </si>
  <si>
    <t>Kế hoạch</t>
  </si>
  <si>
    <t>- Số hộ nghèo</t>
  </si>
  <si>
    <t>- Tỷ suất chết mẹ/100.000 trẻ đẻ sống</t>
  </si>
  <si>
    <t>- Số hộ được sử dụng điện</t>
  </si>
  <si>
    <t>+ Số xã đặc biệt khó khăn (theo tiêu chuẩn của Chương trình 135)</t>
  </si>
  <si>
    <t>+ Số xã có đường ô tô đến trung tâm</t>
  </si>
  <si>
    <t>+ Tỷ lệ xã có đường ô tô đến trung tâm</t>
  </si>
  <si>
    <t>+ Số xã có trạm y tế</t>
  </si>
  <si>
    <t>+ Tỷ lệ xã có trạm y tế</t>
  </si>
  <si>
    <t>+ Số xã có bưu điện văn hoá xã</t>
  </si>
  <si>
    <t>+ Tỷ lệ xã có bưu điện văn hoá xã</t>
  </si>
  <si>
    <t>+ Số xã có chợ xã, liên xã</t>
  </si>
  <si>
    <t>- Số hộ được sử dụng nước sạch</t>
  </si>
  <si>
    <t>hộ</t>
  </si>
  <si>
    <t>Ngân sách địa phương điều tiết về Ngân sách Trung ương</t>
  </si>
  <si>
    <t>- Số hộ được sử dụng nước hợp vệ sinh</t>
  </si>
  <si>
    <t>+ Tỷ lệ xã có chợ xã, liên xã</t>
  </si>
  <si>
    <t>Trong đó: tổng số lao động là xã viên HTX</t>
  </si>
  <si>
    <t>Trong đó: thành lập mới</t>
  </si>
  <si>
    <t>Trong đó: Xã viên mới</t>
  </si>
  <si>
    <t xml:space="preserve">              + Số có trình độ Đại học trở lên</t>
  </si>
  <si>
    <t>Trong đó: + Số có trình độ trung cấp, cao đẳng</t>
  </si>
  <si>
    <t>CÁC CHỈ TIÊU XÃ HỘI</t>
  </si>
  <si>
    <t>CÁC CHỈ TIÊU PHÁT TRIỂN DOANH NGHIỆP VÀ KINH TẾ TẬP THỂ</t>
  </si>
  <si>
    <t xml:space="preserve">  + Thu quốc doanh địa phương</t>
  </si>
  <si>
    <t>- Vốn cân đối ngân sách địa phương</t>
  </si>
  <si>
    <t>- Kinh tế có vốn đầu tư nước ngoài</t>
  </si>
  <si>
    <t>Giờ/năm</t>
  </si>
  <si>
    <t>- Tỷ lệ che phủ rừng</t>
  </si>
  <si>
    <t>- Tỷ lệ dân số nông thôn được cấp nước hợp vệ sinh</t>
  </si>
  <si>
    <t>- Tỷ lệ dân số đô thị được cung cấp nước sạch</t>
  </si>
  <si>
    <t>- Số người tham gia bảo hiểm xã hội bắt buộc</t>
  </si>
  <si>
    <t>Tổng mức bán lẻ hàng hoá và doanh thu dịch vụ tiêu dùng trên địa bàn</t>
  </si>
  <si>
    <t>Giá trị gia tăng bình quân đầu người</t>
  </si>
  <si>
    <t>- Công nghiệp chế biến, chế tạo</t>
  </si>
  <si>
    <t>CÔNG NGHIỆP</t>
  </si>
  <si>
    <t>XÂY DỰNG KẾ HOẠCH PHÁT TRIỂN KINH TẾ - XÃ HỘI NĂM 2014 CỦA CÁC TỈNH, THÀNH PHỐ TRỰC THUỘC TRUNG ƯƠNG</t>
  </si>
  <si>
    <t>Thực hiện  2012</t>
  </si>
  <si>
    <t>- Nông nghiệp:</t>
  </si>
  <si>
    <t>- Trồng trọt</t>
  </si>
  <si>
    <t>- Chăn nuôi</t>
  </si>
  <si>
    <t>- Thủy sản:</t>
  </si>
  <si>
    <t>- Nuôi trồng</t>
  </si>
  <si>
    <t>- Khai thác</t>
  </si>
  <si>
    <t>- Công nghiệp khai khoáng</t>
  </si>
  <si>
    <t>- Sản xuất và phân phối điện, khí đốt, nước</t>
  </si>
  <si>
    <t>- Cung cấp nước, quản lý và xử lý rác thải, nước thải</t>
  </si>
  <si>
    <t>- Diện tích rừng trồng tập trung</t>
  </si>
  <si>
    <t>- Diện tích trồng cây phân tán</t>
  </si>
  <si>
    <t>- Sản lượng gỗ khai thác</t>
  </si>
  <si>
    <t>Nghìn m3</t>
  </si>
  <si>
    <t>Mã chỉ tiêu</t>
  </si>
  <si>
    <t>Đơn vị tính</t>
  </si>
  <si>
    <t>Kế hoạch 2014</t>
  </si>
  <si>
    <t>10=(9)/(4)</t>
  </si>
  <si>
    <t>12=(11)/(9)</t>
  </si>
  <si>
    <t>Tình hình thực hiện</t>
  </si>
  <si>
    <t>A1</t>
  </si>
  <si>
    <t>Vốn đầu tư thực hiện</t>
  </si>
  <si>
    <t>A2</t>
  </si>
  <si>
    <t>A3</t>
  </si>
  <si>
    <t>Doanh thu</t>
  </si>
  <si>
    <t>A4</t>
  </si>
  <si>
    <t>Số lao động</t>
  </si>
  <si>
    <t>A5</t>
  </si>
  <si>
    <t>Nộp ngân sách</t>
  </si>
  <si>
    <t>B1</t>
  </si>
  <si>
    <t>Cấp mới</t>
  </si>
  <si>
    <t>B11</t>
  </si>
  <si>
    <t>Số dự án</t>
  </si>
  <si>
    <t>Dự án</t>
  </si>
  <si>
    <t>B12</t>
  </si>
  <si>
    <t>Vốn đầu tư đăng ký mới</t>
  </si>
  <si>
    <t>B2</t>
  </si>
  <si>
    <t>Điều chỉnh vốn</t>
  </si>
  <si>
    <t>B21</t>
  </si>
  <si>
    <t>Số lượt dự án điều chỉnh tăng vốn</t>
  </si>
  <si>
    <t>lượt dự án</t>
  </si>
  <si>
    <t>B22</t>
  </si>
  <si>
    <t>Vốn đầu tư điều chỉnh tăng</t>
  </si>
  <si>
    <t>B23</t>
  </si>
  <si>
    <t>Số lượt dự án điều chỉnh giảm vốn</t>
  </si>
  <si>
    <t>B24</t>
  </si>
  <si>
    <t>Vốn đầu tư điều chỉnh giảm</t>
  </si>
  <si>
    <t>B3</t>
  </si>
  <si>
    <t>Vốn đăng ký cấp mới và tăng thêm</t>
  </si>
  <si>
    <t>C1</t>
  </si>
  <si>
    <t>C2</t>
  </si>
  <si>
    <t>Vốn đăng ký</t>
  </si>
  <si>
    <t>D</t>
  </si>
  <si>
    <t>Tình hình tiếp nhận</t>
  </si>
  <si>
    <t>D1</t>
  </si>
  <si>
    <t>Số dự án tiếp nhận</t>
  </si>
  <si>
    <t>D2</t>
  </si>
  <si>
    <t>Vốn đăng ký của các dự án tiếp nhận</t>
  </si>
  <si>
    <t>D3</t>
  </si>
  <si>
    <t>D4</t>
  </si>
  <si>
    <t>Chưa cấp</t>
  </si>
  <si>
    <t>D5</t>
  </si>
  <si>
    <t>D6</t>
  </si>
  <si>
    <t xml:space="preserve">Vốn đăng ký </t>
  </si>
  <si>
    <t>Chú thích</t>
  </si>
  <si>
    <t>(*) Không áp dụng</t>
  </si>
  <si>
    <t>B21 và B23 ghi số lượt điều chỉnh vốn (ví dụ 1 dự án điều chỉnh vốn 2 lần trong kỳ báo cáo thì tính là 2 lượt)</t>
  </si>
  <si>
    <t>B3=B12+B22-B24</t>
  </si>
  <si>
    <t>D1=D3+D5; D2=D4+D6</t>
  </si>
  <si>
    <t>Thực hiện năm 2012</t>
  </si>
  <si>
    <t>Tình hình cấp giấy chứng nhận đầu tư</t>
  </si>
  <si>
    <t>Tình hình thu hồi giấy chứng nhận đầu tư</t>
  </si>
  <si>
    <t>Trong đó, đã cấp giấy chứng nhận đầu tư</t>
  </si>
  <si>
    <t>Cây lương thực có hạt</t>
  </si>
  <si>
    <t>Cây công nghiệp hàng năm</t>
  </si>
  <si>
    <t>Cây ăn quả:</t>
  </si>
  <si>
    <t>Cây công nghiệp lâu năm</t>
  </si>
  <si>
    <t>XUẤT NHẬP KHẨU</t>
  </si>
  <si>
    <t>Chỉ số sản xuất công nghiệp (IIP) so với cùng kỳ theo gốc năm 2010</t>
  </si>
  <si>
    <t>Một số sản phẩm chủ yếu:</t>
  </si>
  <si>
    <t>- Tỷ lệ hộ nghèo</t>
  </si>
  <si>
    <t>- Số hộ thiếu đói trong năm</t>
  </si>
  <si>
    <t>- Mức giảm tỷ lệ hộ nghèo</t>
  </si>
  <si>
    <t>- Số hộ cận nghèo</t>
  </si>
  <si>
    <t>- Tỷ lệ hộ cận nghèo</t>
  </si>
  <si>
    <t>- Số hộ thoát nghèo</t>
  </si>
  <si>
    <t>- Số hộ tái nghèo</t>
  </si>
  <si>
    <t>- Tỷ lệ trạm y tế đạt chuẩn quốc gia về y tế (theo chuẩn mới 2011-2020)</t>
  </si>
  <si>
    <t>ca</t>
  </si>
  <si>
    <t>Số cơ sở gây ô nhiễm môi trường nghiêm trọng theo Quyết định 64/2003/QĐ-TTg của Thủ tướng Chính phủ được xử lý</t>
  </si>
  <si>
    <t>(Kèm theo công văn số        /BKHĐT-TH ngày  tháng 6 năm 2013)</t>
  </si>
  <si>
    <t>Tỉnh Đồng Nai</t>
  </si>
  <si>
    <t>CÁC CHỈ TIÊU NÔNG NGHIỆP, CÔNG NGHIỆP, XÂY DỰNG, DỊCH VỤ, XUẤT NHẬP KHẨU</t>
  </si>
  <si>
    <t xml:space="preserve"> - Lúa</t>
  </si>
  <si>
    <t xml:space="preserve"> - Bắp</t>
  </si>
  <si>
    <t xml:space="preserve"> - Bông vải</t>
  </si>
  <si>
    <t>Tấn</t>
  </si>
  <si>
    <t xml:space="preserve"> - Mía</t>
  </si>
  <si>
    <t xml:space="preserve"> - Thuốc lá</t>
  </si>
  <si>
    <t xml:space="preserve"> - Cao su mủ khô</t>
  </si>
  <si>
    <t xml:space="preserve"> - Hạt điều</t>
  </si>
  <si>
    <t xml:space="preserve"> - Tiêu hạt</t>
  </si>
  <si>
    <t>Rau, đậu các loại</t>
  </si>
  <si>
    <t xml:space="preserve"> - Rau các loại</t>
  </si>
  <si>
    <t xml:space="preserve"> - Đậu các loại</t>
  </si>
  <si>
    <t xml:space="preserve"> - Đậu nành</t>
  </si>
  <si>
    <t xml:space="preserve"> - Đậu phộng</t>
  </si>
  <si>
    <t xml:space="preserve"> - Cà phê nhân</t>
  </si>
  <si>
    <t>Quy hoạch phát triển khoa học và công nghệ tỉnh Đồng Nai đến năm 2020 và tầm nhìn đến năm 2030</t>
  </si>
  <si>
    <t>2014-2015</t>
  </si>
  <si>
    <t>Thực hiện năm 2013</t>
  </si>
  <si>
    <t>Kế hoạch năm 2015</t>
  </si>
  <si>
    <t>Ước TH 2014/TH 2013</t>
  </si>
  <si>
    <t>KH năm 2015/Ước TH 2014</t>
  </si>
  <si>
    <t xml:space="preserve"> - Thịt Trâu hơi xuất chuồng</t>
  </si>
  <si>
    <t xml:space="preserve"> - Thịt heo hơi xuất chuồng</t>
  </si>
  <si>
    <t xml:space="preserve"> - Thịt gia cầm</t>
  </si>
  <si>
    <t xml:space="preserve"> - Điện</t>
  </si>
  <si>
    <t>Tr.kwh</t>
  </si>
  <si>
    <t xml:space="preserve"> - Thép các loại</t>
  </si>
  <si>
    <t xml:space="preserve"> - Dây điện các loại</t>
  </si>
  <si>
    <t>Km</t>
  </si>
  <si>
    <t xml:space="preserve"> - Máy bơm</t>
  </si>
  <si>
    <t>Cái</t>
  </si>
  <si>
    <t xml:space="preserve"> - Bình ắc quy</t>
  </si>
  <si>
    <t>Kw/h</t>
  </si>
  <si>
    <t xml:space="preserve"> - Bột giặt</t>
  </si>
  <si>
    <t xml:space="preserve"> - Gạch các loại</t>
  </si>
  <si>
    <t>1000 viên</t>
  </si>
  <si>
    <t xml:space="preserve"> - Ngói các loại</t>
  </si>
  <si>
    <t xml:space="preserve"> - Gạch men</t>
  </si>
  <si>
    <t xml:space="preserve"> - Giấy các loại</t>
  </si>
  <si>
    <t xml:space="preserve"> - Ván ép các loại</t>
  </si>
  <si>
    <t xml:space="preserve"> - Quần áo may sẵn</t>
  </si>
  <si>
    <t>1000 cái</t>
  </si>
  <si>
    <t xml:space="preserve"> - Đồ hộp các loại</t>
  </si>
  <si>
    <t xml:space="preserve"> - Bột ngọt</t>
  </si>
  <si>
    <t>1000 tấn</t>
  </si>
  <si>
    <t xml:space="preserve"> - Vỏ xe đạp, xe máy</t>
  </si>
  <si>
    <t xml:space="preserve"> - Đá khai thác</t>
  </si>
  <si>
    <t xml:space="preserve"> - Quạt dân dụng các loại</t>
  </si>
  <si>
    <t xml:space="preserve"> - Phân hỗn hợp NPK</t>
  </si>
  <si>
    <t xml:space="preserve"> - Gỗ xẻ</t>
  </si>
  <si>
    <t xml:space="preserve"> - Gỗ đồ mộc</t>
  </si>
  <si>
    <t xml:space="preserve"> - Thuốc lá điếu</t>
  </si>
  <si>
    <t>1000 bao</t>
  </si>
  <si>
    <t xml:space="preserve"> - Đường mật</t>
  </si>
  <si>
    <t xml:space="preserve"> - Giày dép</t>
  </si>
  <si>
    <t>1000 đôi</t>
  </si>
  <si>
    <t xml:space="preserve"> - Nước máy khai thác</t>
  </si>
  <si>
    <t xml:space="preserve"> - Thức ăn gia súc</t>
  </si>
  <si>
    <t xml:space="preserve"> - Bánh kẹo các loại</t>
  </si>
  <si>
    <t xml:space="preserve"> - Ti vi các loại</t>
  </si>
  <si>
    <t xml:space="preserve"> - Xe máy 2 bánh</t>
  </si>
  <si>
    <t>1000 chiếc</t>
  </si>
  <si>
    <t xml:space="preserve"> - Xe tải nhẹ</t>
  </si>
  <si>
    <t>Chiếc</t>
  </si>
  <si>
    <t xml:space="preserve"> - Sơn cao cấp</t>
  </si>
  <si>
    <t xml:space="preserve"> - Bao PP - PP bags</t>
  </si>
  <si>
    <t xml:space="preserve"> - Hạt nhựa PVC - PVC Plastic</t>
  </si>
  <si>
    <t xml:space="preserve"> - Khăn tắm các loại</t>
  </si>
  <si>
    <t xml:space="preserve"> - Vải các loại</t>
  </si>
  <si>
    <t>Triệu m</t>
  </si>
  <si>
    <t xml:space="preserve"> - Giày thể thao</t>
  </si>
  <si>
    <t xml:space="preserve"> - Nhang trừ muỗi</t>
  </si>
  <si>
    <t>Thùng</t>
  </si>
  <si>
    <t>XÂY DỰNG</t>
  </si>
  <si>
    <t>1000 USD</t>
  </si>
  <si>
    <t>Sinh viên</t>
  </si>
  <si>
    <t>Tỷ lệ thu gom và xử lý chất thải y tế</t>
  </si>
  <si>
    <t>Thu gom và xử lý chất thải sinh hoạt và công nghiệp không nguy hại</t>
  </si>
  <si>
    <t>Thu gom và xử lý chất thải công nghiệp nguy hại</t>
  </si>
  <si>
    <t>E</t>
  </si>
  <si>
    <t xml:space="preserve">Phụ lục </t>
  </si>
  <si>
    <t>ĐVT</t>
  </si>
  <si>
    <t>(Kèm theo Báo cáo số       /KH-UBND ngày      tháng      năm 2014
của UBND tỉnh Đồng Nai )</t>
  </si>
  <si>
    <t>21/24</t>
  </si>
  <si>
    <t>24/24</t>
  </si>
  <si>
    <t>Chỉ tiêu NQ</t>
  </si>
  <si>
    <t>Ước thực hiện 2014</t>
  </si>
  <si>
    <t>SS NQ/TH</t>
  </si>
  <si>
    <t>Tốc độ tăng trưởng kinh tế (GRDP - giá 1994)</t>
  </si>
  <si>
    <t>Tốc độ tăng trưởng kinh tế (GRDP - giá 2010)</t>
  </si>
  <si>
    <t>10,8 - 11,8</t>
  </si>
  <si>
    <t>GRDP bình quân đầu người</t>
  </si>
  <si>
    <t>Tr. Đồng</t>
  </si>
  <si>
    <t>56 - 57</t>
  </si>
  <si>
    <t>2.640-2.680</t>
  </si>
  <si>
    <t>Cơ cấu kinh tế</t>
  </si>
  <si>
    <t>Công nghiệp – xây dựng</t>
  </si>
  <si>
    <t>37-38</t>
  </si>
  <si>
    <t>Nông, lâm nghiệp, thủy sản</t>
  </si>
  <si>
    <t>GTSX công nghiệp (giá 1994)</t>
  </si>
  <si>
    <t>13,5 - 14,5</t>
  </si>
  <si>
    <t>GTSX công nghiệp (giá 2010)</t>
  </si>
  <si>
    <t>13 - 14</t>
  </si>
  <si>
    <t>Giá trị tăng thêm ngành dịch vụ (giá 1994)</t>
  </si>
  <si>
    <t>14 - 14,5</t>
  </si>
  <si>
    <t>Giá trị tăng thêm ngành dịch vụ (giá 2010)</t>
  </si>
  <si>
    <t>13 - 13,5</t>
  </si>
  <si>
    <t>GTSX Nông, lâm, thủy sản (giá 1994)</t>
  </si>
  <si>
    <t>3,5 - 4</t>
  </si>
  <si>
    <t>GTSX Nông, lâm, thủy sản (giá 2010)</t>
  </si>
  <si>
    <t>3,2 - 3,6</t>
  </si>
  <si>
    <t>1.000 tỷ đồng</t>
  </si>
  <si>
    <t>43 - 45</t>
  </si>
  <si>
    <t>%GRDP</t>
  </si>
  <si>
    <t>27 - 28</t>
  </si>
  <si>
    <t>Thu hút đầu tư nước ngoài (FDI)</t>
  </si>
  <si>
    <t>700 - 900</t>
  </si>
  <si>
    <t>Thu hút đầu tư trong nước</t>
  </si>
  <si>
    <t>7.000-8.000</t>
  </si>
  <si>
    <t>Doanh nghiệp đăng ký kinh doanh</t>
  </si>
  <si>
    <t>6.500-7.000</t>
  </si>
  <si>
    <t>Tốc độ tăng kim ngạch xuất khẩu</t>
  </si>
  <si>
    <t>Tổng thu ngân sách</t>
  </si>
  <si>
    <t>Tỷ lệ thất nghiệp khu vực thành thị</t>
  </si>
  <si>
    <t>Số sinh viên Đại học, Cao đẳng/ vạn dân</t>
  </si>
  <si>
    <t>Số Bác sỹ/ vạn dân</t>
  </si>
  <si>
    <t>Trạm y tế có Bác sỹ phục vụ ổn định</t>
  </si>
  <si>
    <t>Tỷ lệ xã, phường, thị trấn đạt chuẩn quốc gia về y tế</t>
  </si>
  <si>
    <t>Tỷ lệ trẻ em suy dinh dưỡng cân nặng theo độ tuổi</t>
  </si>
  <si>
    <t>Tỷ lệ trẻ em suy dinh dưỡng chiều cao theo độ tuổi</t>
  </si>
  <si>
    <t>Giải quyết việc làm</t>
  </si>
  <si>
    <t>Lao động</t>
  </si>
  <si>
    <t>Tỷ lệ lao động qua đào tạo nghề</t>
  </si>
  <si>
    <t>Tỷ lệ hộ nghèo</t>
  </si>
  <si>
    <t>Tỷ lệ ấp, khu phố văn hóa</t>
  </si>
  <si>
    <t>Tỷ lệ hộ gia đình văn hóa</t>
  </si>
  <si>
    <t>Tỷ lệ cơ quan, đơn vị đạt chuẩn văn hóa</t>
  </si>
  <si>
    <t>Tỷ lệ dân cư thành thị sử dụng nước sạch</t>
  </si>
  <si>
    <t>Tỷ lệ dân cư nông thôn sử dụng nước hợp vệ sinh</t>
  </si>
  <si>
    <t>Thu gom và xử lý chất thải y tế</t>
  </si>
  <si>
    <t>Thu gom và xử lý chất thải rắn sinh hoạt, chất thải công nghiệp không nguy hại</t>
  </si>
  <si>
    <t>Thu gom và xử lý chất thải nguy hại</t>
  </si>
  <si>
    <t>Thu  gom 90%, xử lý 87%</t>
  </si>
  <si>
    <t>Tỷ lệ KCN đang hoạt động có trạm xử lý nước thải tập trung đạt chuẩn môi trường</t>
  </si>
  <si>
    <t>Tỷ lệ KCN lấp đầy 50% diện tích được đầu tư trạm quan trắc môi trường</t>
  </si>
  <si>
    <t>Tỷ lệ che phủ rừng</t>
  </si>
  <si>
    <t>11-12</t>
  </si>
  <si>
    <t>9-10</t>
  </si>
  <si>
    <t>KẾT QUẢ THỰC HIỆN CÁC MỤC TIÊU THEO NGHỊ QUYẾT 96/2013/NQ-HĐND
ngày 06/12/2013 của HĐND tỉnh Đồng Nai</t>
  </si>
  <si>
    <t>-</t>
  </si>
  <si>
    <r>
      <t xml:space="preserve">Cơ cấu Tổng giá trị gia tăng theo ngành kinh tế </t>
    </r>
    <r>
      <rPr>
        <i/>
        <sz val="13"/>
        <rFont val="Times New Roman"/>
        <family val="1"/>
      </rPr>
      <t>(giá hiện hành)</t>
    </r>
  </si>
  <si>
    <r>
      <t xml:space="preserve">Cơ cấu Tổng giá trị gia tăng theo thành phần kinh tế </t>
    </r>
    <r>
      <rPr>
        <i/>
        <sz val="13"/>
        <rFont val="Times New Roman"/>
        <family val="1"/>
      </rPr>
      <t>(giá hiện hành)</t>
    </r>
  </si>
  <si>
    <r>
      <t xml:space="preserve">Giá trị sản xuất </t>
    </r>
    <r>
      <rPr>
        <i/>
        <sz val="13"/>
        <rFont val="Times New Roman"/>
        <family val="1"/>
      </rPr>
      <t>(giá cố định năm 1994)</t>
    </r>
  </si>
  <si>
    <r>
      <t xml:space="preserve">Giá trị sản xuất </t>
    </r>
    <r>
      <rPr>
        <i/>
        <sz val="13"/>
        <rFont val="Times New Roman"/>
        <family val="1"/>
      </rPr>
      <t>(giá cố định năm 2010)</t>
    </r>
  </si>
  <si>
    <t>VỐN ĐẦU TƯ PHÁT TRIỂN TRÊN ĐỊA BÀN</t>
  </si>
  <si>
    <t>Thực hiện năm 2010</t>
  </si>
  <si>
    <t>Thực hiện năm 2011</t>
  </si>
  <si>
    <t>So sánh (%)</t>
  </si>
  <si>
    <t>Vốn Ngân sách Nhà nước</t>
  </si>
  <si>
    <t>Vốn NSNN địa phương</t>
  </si>
  <si>
    <t xml:space="preserve"> - Vốn ngân sách tập trung</t>
  </si>
  <si>
    <t>Tiền đất để hình thành Quỹ phát triển đất (30%) và Quỹ phát triển nhà ở xã hội (30%)</t>
  </si>
  <si>
    <t>Nguồn vốn Trái phiếu Chính phủ</t>
  </si>
  <si>
    <t>Vốn tín dụng đầu tư</t>
  </si>
  <si>
    <t>Nhà nước TW</t>
  </si>
  <si>
    <t>Nhà nước ĐP</t>
  </si>
  <si>
    <t>Thương mại</t>
  </si>
  <si>
    <t>Vốn đầu tư của các DN nhà nước</t>
  </si>
  <si>
    <t>TW</t>
  </si>
  <si>
    <t>ĐP</t>
  </si>
  <si>
    <t>Vốn đầu tư của dân cư và doanh nghiệp ngoài quốc doanh</t>
  </si>
  <si>
    <t>Nguồn khác trong nước</t>
  </si>
  <si>
    <t>Vốn đầu tư trực tiếp nước ngoài (FDI)</t>
  </si>
  <si>
    <t>Vốn đầu tư trực tiếp nước ngoài (ĐVT: Triệu USD)</t>
  </si>
  <si>
    <t>Vốn ODA</t>
  </si>
  <si>
    <t>Chia ra</t>
  </si>
  <si>
    <t>Trung ương quản lý</t>
  </si>
  <si>
    <t>Địa phương quản lý</t>
  </si>
  <si>
    <t>Vốn trực tiếp nước ngoài</t>
  </si>
  <si>
    <t>"</t>
  </si>
  <si>
    <t>Hỗ trợ có mục tiêu từ NSTW</t>
  </si>
  <si>
    <t>CHỈ TIÊU</t>
  </si>
  <si>
    <t>TH (2001-2005)</t>
  </si>
  <si>
    <t>Nghị quyết 62</t>
  </si>
  <si>
    <t>TH 2010</t>
  </si>
  <si>
    <t>TH 2011</t>
  </si>
  <si>
    <t>TH 2012</t>
  </si>
  <si>
    <t>ƯTH 2013</t>
  </si>
  <si>
    <t xml:space="preserve">Bình quân 3 năm
2011-2013 </t>
  </si>
  <si>
    <t>ƯTH 2014</t>
  </si>
  <si>
    <t>ƯTH 2015</t>
  </si>
  <si>
    <t>Bình quân 5 năm 
2011-2015</t>
  </si>
  <si>
    <t>Mục tiêu NQ
5 năm 2011-2015</t>
  </si>
  <si>
    <t>So sánh bình quân 3 năm với mục tiêu NQ</t>
  </si>
  <si>
    <t>So sánh bình quân 5 năm
với mục tiêu NQ</t>
  </si>
  <si>
    <t>Về kinh tế</t>
  </si>
  <si>
    <t>14-14,5%/năm</t>
  </si>
  <si>
    <t>13-14</t>
  </si>
  <si>
    <t>Không đạt</t>
  </si>
  <si>
    <t>16-16,5%/năm</t>
  </si>
  <si>
    <t>15-15,5%/năm</t>
  </si>
  <si>
    <t>15-16</t>
  </si>
  <si>
    <t>4-4,5%/năm</t>
  </si>
  <si>
    <t>3,5-4</t>
  </si>
  <si>
    <t>Đạt</t>
  </si>
  <si>
    <t>Dịch vụ</t>
  </si>
  <si>
    <t>Theo giá SS 1994 (quy 1USD= 11.000 VND)</t>
  </si>
  <si>
    <t>USD</t>
  </si>
  <si>
    <t>1.400-1.450 USD</t>
  </si>
  <si>
    <t xml:space="preserve">Theo giá thực tế  </t>
  </si>
  <si>
    <t>13,953 triệu đồng</t>
  </si>
  <si>
    <t>Giá USD</t>
  </si>
  <si>
    <t>787 USD</t>
  </si>
  <si>
    <t>Theo  giá thực tế (quy đô la)</t>
  </si>
  <si>
    <t>883 USD</t>
  </si>
  <si>
    <t>2.900-3.000</t>
  </si>
  <si>
    <t xml:space="preserve">Cơ cấu kinh tế </t>
  </si>
  <si>
    <t>Năm 2005</t>
  </si>
  <si>
    <t>Năm 2010</t>
  </si>
  <si>
    <t>Công nghiệp- xây dựng</t>
  </si>
  <si>
    <t>56-57</t>
  </si>
  <si>
    <t>Phù hợp với 
mục tiêu NQ</t>
  </si>
  <si>
    <t>38-39</t>
  </si>
  <si>
    <t>Nông lâm nghiệp và thuỷ sản</t>
  </si>
  <si>
    <t>5-6</t>
  </si>
  <si>
    <t>20-22%</t>
  </si>
  <si>
    <t>15%-17%</t>
  </si>
  <si>
    <t>Tổng vốn đầu tư phát triển toàn xã hội</t>
  </si>
  <si>
    <t>100.000-110.000</t>
  </si>
  <si>
    <t>260.000-270.000</t>
  </si>
  <si>
    <t>Tổng vốn đầu tư phát triển toàn xã hội/Tổng GDP</t>
  </si>
  <si>
    <t>40-43</t>
  </si>
  <si>
    <t>Tổng thu ngân sách trên địa bàn</t>
  </si>
  <si>
    <t>23%-25%</t>
  </si>
  <si>
    <t>23-25%</t>
  </si>
  <si>
    <t>Vượt</t>
  </si>
  <si>
    <t>Tỷ lệ xã đạt chuẩn nông thôn mới</t>
  </si>
  <si>
    <t>20</t>
  </si>
  <si>
    <t>Về văn hóa - xã hội</t>
  </si>
  <si>
    <t>Tỷ lệ tăng dân số tự nhiên</t>
  </si>
  <si>
    <t>&lt;1,1</t>
  </si>
  <si>
    <t>1,1%</t>
  </si>
  <si>
    <t>Quy mô dân số</t>
  </si>
  <si>
    <t>triệu người</t>
  </si>
  <si>
    <t>Tỷ lệ dân số thành thị</t>
  </si>
  <si>
    <t>&gt;45%</t>
  </si>
  <si>
    <t>Số sinh viên đại học, cao đẳng/vạn dân</t>
  </si>
  <si>
    <t>300</t>
  </si>
  <si>
    <t>Số giường bệnh/vạn dân</t>
  </si>
  <si>
    <t>Giường bệnh</t>
  </si>
  <si>
    <t>26</t>
  </si>
  <si>
    <t>Số bác sỹ/vạn dân</t>
  </si>
  <si>
    <t>8</t>
  </si>
  <si>
    <t>Tỷ lệ suy dinh dưỡng trẻ dưới 5 tuổi</t>
  </si>
  <si>
    <t>10</t>
  </si>
  <si>
    <t>&lt;12,5%</t>
  </si>
  <si>
    <t>Tỷ lệ trẻ em SDD cân nặng theo độ tuổi</t>
  </si>
  <si>
    <t>Tỷ lệ trẻ em SDD chiều cao theo độ tuổi</t>
  </si>
  <si>
    <t>Tỷ lệ thất nghiệp thành thị</t>
  </si>
  <si>
    <t>&lt;2,8%</t>
  </si>
  <si>
    <t>2,5</t>
  </si>
  <si>
    <t>&lt;2,6%</t>
  </si>
  <si>
    <t>Tỷ lệ lao động qua đào tạo</t>
  </si>
  <si>
    <t>53-55%</t>
  </si>
  <si>
    <t>65</t>
  </si>
  <si>
    <t>65%</t>
  </si>
  <si>
    <t>Trong đó: Đào tạo nghề</t>
  </si>
  <si>
    <t>50</t>
  </si>
  <si>
    <t>45%</t>
  </si>
  <si>
    <t>Ấp, khu phố văn hoá</t>
  </si>
  <si>
    <t>&gt;90%</t>
  </si>
  <si>
    <t>90</t>
  </si>
  <si>
    <t>90%</t>
  </si>
  <si>
    <t>Gia đình văn hoá</t>
  </si>
  <si>
    <t>98</t>
  </si>
  <si>
    <t>98%</t>
  </si>
  <si>
    <t>Cơ quan đơn vị văn hoá</t>
  </si>
  <si>
    <t>&gt;98%</t>
  </si>
  <si>
    <t>Doanh nghiệp có đời sống văn hóa</t>
  </si>
  <si>
    <t>Phổ cập giáo dục bậc trung học</t>
  </si>
  <si>
    <t>Hoàn thành năm 2010</t>
  </si>
  <si>
    <t>Duy trì</t>
  </si>
  <si>
    <t>Giảm hộ nghèo</t>
  </si>
  <si>
    <t>27.000-30.000</t>
  </si>
  <si>
    <t>Tỷ lệ dân số nông thôn tham gia hoạt động văn hóa thường xuyên</t>
  </si>
  <si>
    <t>80</t>
  </si>
  <si>
    <t>Tỷ lệ dân số tham gia tập luyện thể thao thường xuyên</t>
  </si>
  <si>
    <t>30</t>
  </si>
  <si>
    <t>Tỷ lệ xã có trung tâm văn hóa thể thao</t>
  </si>
  <si>
    <t>100</t>
  </si>
  <si>
    <t>Tỷ lệ hộ nghèo (theo chuẩn 2011-2015)</t>
  </si>
  <si>
    <t>&lt;4%</t>
  </si>
  <si>
    <t>&lt;1</t>
  </si>
  <si>
    <t>Tỷ lệ hộ nghèo (theo chuẩn năm 2009)</t>
  </si>
  <si>
    <t xml:space="preserve">Giảm tỷ lệ hộ nghèo hàng năm </t>
  </si>
  <si>
    <t>1,5%</t>
  </si>
  <si>
    <t>Tỷ lệ hộ dùng điện</t>
  </si>
  <si>
    <t>99</t>
  </si>
  <si>
    <t>99%</t>
  </si>
  <si>
    <t>Tỷ lệ hộ dùng nước sạch:</t>
  </si>
  <si>
    <t>&gt;95%</t>
  </si>
  <si>
    <t xml:space="preserve"> - Khu vực đô thị</t>
  </si>
  <si>
    <t xml:space="preserve"> - Khu vực nông thôn</t>
  </si>
  <si>
    <t>95%</t>
  </si>
  <si>
    <t>Về bảo vệ môi trường</t>
  </si>
  <si>
    <t>Tỷ lệ che phủ cây xanh</t>
  </si>
  <si>
    <t>56</t>
  </si>
  <si>
    <t>56%</t>
  </si>
  <si>
    <t>Trong đó: Tỷ lệ che phủ của rừng</t>
  </si>
  <si>
    <t>Giảm 1,5%/năm</t>
  </si>
  <si>
    <t>Thực hiện  2011</t>
  </si>
  <si>
    <t>Số khu công nghiệp đang hoạt động có hệ thống xử lý nước thải tập trung đạt tiêu chuẩn môi trường</t>
  </si>
  <si>
    <t>Tỷ lệ khu công nghiệp đang hoạt động có hệ thống xử lý nước thải tập trung đạt tiêu chuẩn môi trường</t>
  </si>
  <si>
    <t>- Tổng vốn đầu tư của doanh nghiệp dân doanh</t>
  </si>
  <si>
    <t>KẾ HOẠCH PHÁT TRIỂN KINH TẾ - XÃ HỘI
 NĂM 2015 TỈNH ĐỒNG NAI</t>
  </si>
  <si>
    <t>Nghị quyết 06-NQ/TU</t>
  </si>
  <si>
    <t>Ước thực hiện năm 2014</t>
  </si>
  <si>
    <t>Tốc độ tăng trưởng kinh tế</t>
  </si>
  <si>
    <t>GDP bình quân đầu người</t>
  </si>
  <si>
    <t>14-15</t>
  </si>
  <si>
    <t>Giá trị tăng thêm ngành dịch vụ</t>
  </si>
  <si>
    <t>GTSX nông, lâm, thủy sản (giá 1994)</t>
  </si>
  <si>
    <t>43-45</t>
  </si>
  <si>
    <t>27-28</t>
  </si>
  <si>
    <t>Đạt dự toán Trung ương giao</t>
  </si>
  <si>
    <t>Tỷ USD</t>
  </si>
  <si>
    <t>0,7-0,9</t>
  </si>
  <si>
    <t>Giải ngân vốn đầu tư nước ngoài (FDI)</t>
  </si>
  <si>
    <t>6,5-7,5</t>
  </si>
  <si>
    <t>Về xã hội</t>
  </si>
  <si>
    <t>Dưới 1,1%</t>
  </si>
  <si>
    <t>Tỷ lệ xã, phường, thị trấn đạt chuẩn phổ cập giáo dục mầm non cho trẻ em 5 tuổi</t>
  </si>
  <si>
    <t xml:space="preserve">Giải quyết việc làm </t>
  </si>
  <si>
    <t>Lượt lao động</t>
  </si>
  <si>
    <t>Trạm y tế có bác sỹ phục vụ ổn định</t>
  </si>
  <si>
    <t>Dưới 1%</t>
  </si>
  <si>
    <t>Tỷ lệ cơ quan đơn vị đạt chuẩn văn hóa</t>
  </si>
  <si>
    <t>Giảm tai nạn giao thông đường bộ, đường sắt, đường thủy nội địa</t>
  </si>
  <si>
    <t>5-10%</t>
  </si>
  <si>
    <t>Về môi trường</t>
  </si>
  <si>
    <t>Tỷ lệ hộ dân sử dụng nước sạch khu vực thành thị</t>
  </si>
  <si>
    <t>Tỷ lệ hộ dân sử dụng nước hợp vệ sinh khu vực nông thôn</t>
  </si>
  <si>
    <t>Tỷ lệ KCN có nước thải ổn định được đầu tư trạm quan trắc môi trường tự động</t>
  </si>
  <si>
    <t>Phụ lục 1:</t>
  </si>
  <si>
    <t>ĐÁNH GIÁ KẾT QUẢ THỰC HIỆN CÁC CHỈ TIÊU THEO NGHỊ QUYẾT 06-NQ/TU</t>
  </si>
  <si>
    <t>Nghìn người</t>
  </si>
  <si>
    <t>Vốn vay và hoàn trả từ cân đối NSĐP</t>
  </si>
  <si>
    <t>Thực hiện  2013</t>
  </si>
  <si>
    <t>Năm 2014</t>
  </si>
  <si>
    <t>Kế hoạch  2015</t>
  </si>
  <si>
    <t>Ước thực hiện 2014 so với thực hiện 2013 (%)</t>
  </si>
  <si>
    <t>Kế hoạch 2015 so với ước thực hiện 2014 (%)</t>
  </si>
  <si>
    <t>Cấp 
phê duyệt</t>
  </si>
  <si>
    <t>Thời gian 
bắt đầu - 
kết thúc</t>
  </si>
  <si>
    <t>Tổng 
dự toán 
được duyệt</t>
  </si>
  <si>
    <t>Phòng
theo
dõi</t>
  </si>
  <si>
    <t>Chủ trì</t>
  </si>
  <si>
    <t>QUY HOẠCH CHUYỂN TIẾP</t>
  </si>
  <si>
    <t>Quy hoạch xây dựng vùng tỉnh Đồng Nai</t>
  </si>
  <si>
    <t>Chính phủ</t>
  </si>
  <si>
    <t>2011-2012</t>
  </si>
  <si>
    <t>SXD</t>
  </si>
  <si>
    <t>Điều chỉnh Quy hoạch tổng thể phát triển kinh tế xã hội tỉnh Đồng Nai đến năm 2020 và tầm nhìn đến năm 2025</t>
  </si>
  <si>
    <t>SKH&amp;ĐT</t>
  </si>
  <si>
    <t>SCT</t>
  </si>
  <si>
    <t>UBND tỉnh</t>
  </si>
  <si>
    <t>SGTVT</t>
  </si>
  <si>
    <t>STNMT</t>
  </si>
  <si>
    <t>SNN</t>
  </si>
  <si>
    <t>Quy hoạch sử dụng đất và hạ tầng thiết yếu cho phát triển sản xuất nông nghiệp hàng hóa, công nghiệp, tiểu thủ công nghiệp,dịch vụ tại 33 xã điểm nông thôn mới.</t>
  </si>
  <si>
    <t>UBND huyện</t>
  </si>
  <si>
    <t>Biểu số 8</t>
  </si>
  <si>
    <t>CHỈ TIÊU THỰC HIỆN CHƯƠNG TRÌNH MỤC TIÊU QUỐC GIA</t>
  </si>
  <si>
    <t>Danh mục các Chương trìnhMTQG</t>
  </si>
  <si>
    <t>KH 2015</t>
  </si>
  <si>
    <t>Thực hiện</t>
  </si>
  <si>
    <t>% so với KH</t>
  </si>
  <si>
    <t>Ước thực hiện năm 2013</t>
  </si>
  <si>
    <t>KH</t>
  </si>
  <si>
    <t>UTH 2014</t>
  </si>
  <si>
    <t>CHƯƠNG TRÌNH MTQG VIỆC LÀM VÀ DẠY NGHỀ</t>
  </si>
  <si>
    <t xml:space="preserve"> - Số lao động được giải quyết việc làm trong năm</t>
  </si>
  <si>
    <t>Đạt KH</t>
  </si>
  <si>
    <t xml:space="preserve"> - Tỷ lệ thất nghiệp khu vực thành thị </t>
  </si>
  <si>
    <t>2,58</t>
  </si>
  <si>
    <t xml:space="preserve"> - Tỷ lệ thời gian sử dụng lao động ở khu vực nông thôn</t>
  </si>
  <si>
    <t xml:space="preserve"> - Số lao động xuất khẩu trong năm</t>
  </si>
  <si>
    <t xml:space="preserve"> - Tỷ lệ lao động  được đào tạo</t>
  </si>
  <si>
    <t xml:space="preserve"> - Tỷ lệ lao động được đào tạo nghề so với tổng số lao động</t>
  </si>
  <si>
    <t>43,5</t>
  </si>
  <si>
    <t xml:space="preserve"> - Số người được đào tạo nghề</t>
  </si>
  <si>
    <t xml:space="preserve">Người </t>
  </si>
  <si>
    <t xml:space="preserve"> - Số lao động được giải quyết việc làm mới từ Quỹ quốc gia việc làm</t>
  </si>
  <si>
    <t xml:space="preserve"> - Tỷ lệ hộ nghèo giảm trong năm</t>
  </si>
  <si>
    <t>1,5</t>
  </si>
  <si>
    <t xml:space="preserve"> CHƯƠNG TRÌNH MTQG NƯỚC SẠCH VÀ VỆ SINH MÔI TRƯỜNG NÔNG THÔN  </t>
  </si>
  <si>
    <t xml:space="preserve"> - Tỷ lệ hộ gia đình ở nông thôn có nhà vệ sinh hợp vệ sinh</t>
  </si>
  <si>
    <t xml:space="preserve"> - Tỷ lệ hộ dân nông thôn chăn nuôi có chuồng trại hợp vệ sinh</t>
  </si>
  <si>
    <t xml:space="preserve"> - Tỷ lệ dân số nông thôn được sử dụng nước sinh hoạt hợp vệ sinh</t>
  </si>
  <si>
    <t xml:space="preserve"> - Tỷ lệ trạm y tế xã ở nông thôn có đủ nước sạch</t>
  </si>
  <si>
    <t xml:space="preserve"> - Tỷ lệ trạm y tế xã ở nông thôn có nhà tiêu hợp vệ sinh</t>
  </si>
  <si>
    <t xml:space="preserve"> - Tỷ lệ trường học phổ thông ở nông thôn có đủ nước sạch</t>
  </si>
  <si>
    <t xml:space="preserve"> - Tỷ lệ trường học phổ thông ở nông thôn có nhà tiêu hợp vệ sinh</t>
  </si>
  <si>
    <t xml:space="preserve"> CHƯƠNG TRÌNH MTQG DÂN SỐ VÀ KẾ HOẠCH HÓA GIA ĐÌNH</t>
  </si>
  <si>
    <t xml:space="preserve"> - Tỷ lệ tăng dân số tự nhiên</t>
  </si>
  <si>
    <t>&lt; 1.1</t>
  </si>
  <si>
    <t xml:space="preserve"> - Tỷ lệ giảm sinh</t>
  </si>
  <si>
    <t xml:space="preserve"> - Tỷ lệ sàng lọc trước sinh</t>
  </si>
  <si>
    <t>Vượt KH</t>
  </si>
  <si>
    <t xml:space="preserve"> - Tỷ lệ sàng lọc sơ sinh</t>
  </si>
  <si>
    <t xml:space="preserve"> - Số người mới thực hiện biện pháp tránh thai hiện đại trong năm </t>
  </si>
  <si>
    <t xml:space="preserve"> - Tốc độ tăng tỷ số giới tính khi sinh</t>
  </si>
  <si>
    <t>Điểm %</t>
  </si>
  <si>
    <t xml:space="preserve"> CHƯƠNG TRÌNH MTQG Y TẾ</t>
  </si>
  <si>
    <t>Phòng, chống bệnh sốt rét</t>
  </si>
  <si>
    <t xml:space="preserve"> - Tỷ lệ bệnh nhân sốt rét / 1000 dân</t>
  </si>
  <si>
    <t>/1000 dân</t>
  </si>
  <si>
    <t>&lt;0,1</t>
  </si>
  <si>
    <t xml:space="preserve"> - Dân số được bảo vệ phòng, chống sốt rét</t>
  </si>
  <si>
    <t>vượt KH</t>
  </si>
  <si>
    <t>Phòng, chống bệnh phong</t>
  </si>
  <si>
    <t xml:space="preserve"> - Tỷ lệ lưu hành 1/10.000 dân</t>
  </si>
  <si>
    <t>&lt;0,2</t>
  </si>
  <si>
    <t xml:space="preserve"> - Tỷ lệ phát hiện  1/100.000 dân</t>
  </si>
  <si>
    <t>Phòng, chống Lao</t>
  </si>
  <si>
    <t xml:space="preserve"> - Số bệnh nhân lao được phát hiện</t>
  </si>
  <si>
    <t xml:space="preserve">             Trong đó: AFB (+) mới</t>
  </si>
  <si>
    <t>Phòng chống bệnh sốt xuất huyết</t>
  </si>
  <si>
    <t xml:space="preserve">  - Tỷ lệ mắc bệnh SXH/ 100.000 dân</t>
  </si>
  <si>
    <t xml:space="preserve">  - Tỷ lệ chết/ mắc</t>
  </si>
  <si>
    <t>&lt; 0,11</t>
  </si>
  <si>
    <t>Phòng, chống bệnh ung thư</t>
  </si>
  <si>
    <t xml:space="preserve"> - Tỷ lệ cán bộ y tế chuyên khoa ung thư được tham gia đào tạo, tập huấn, nâng cao nghiệp vụ</t>
  </si>
  <si>
    <t>Tăng huyết áp</t>
  </si>
  <si>
    <t xml:space="preserve"> - Số lượng cán bộ y tế được đào tạo về biện pháp dự phòng, phát hiện sớm, điều trị và quản lý tăng huyết áp</t>
  </si>
  <si>
    <t>cán bộ</t>
  </si>
  <si>
    <t xml:space="preserve"> - Số xã được khám sàng lọc và quản lý bệnh nhân tăng huyết áp</t>
  </si>
  <si>
    <t>Đái tháo đường</t>
  </si>
  <si>
    <t xml:space="preserve"> - Đào tạo 60% số cán bộ tham gia công tác phát hiện sớm tiền đái tháo đường và đái tháo đường</t>
  </si>
  <si>
    <t>Bảo vệ sức khỏe tâm thần cộng đồng và trẻ em</t>
  </si>
  <si>
    <t xml:space="preserve"> - Số xã/phường triển khai mới</t>
  </si>
  <si>
    <t xml:space="preserve">           + Tâm thần phân liệt</t>
  </si>
  <si>
    <t>Xã/phường</t>
  </si>
  <si>
    <t>&gt;95</t>
  </si>
  <si>
    <t xml:space="preserve">           + Động kinh</t>
  </si>
  <si>
    <t xml:space="preserve"> - Số bệnh nhân mới phát hiện bệnh động kinh</t>
  </si>
  <si>
    <t>Bệnh nhân</t>
  </si>
  <si>
    <t xml:space="preserve"> - Số bệnh nhân ổn định bệnh tâm thần phân liệt</t>
  </si>
  <si>
    <t xml:space="preserve"> - Số bệnh nhân ổn định bệnh nhân động kinh</t>
  </si>
  <si>
    <t>Bệnh phổi tắc nghẽn mạn tính và hen phế quản</t>
  </si>
  <si>
    <t xml:space="preserve"> - Tỷ lệ đơn thuốc được kê đúng theo giai  đoạn bệnh</t>
  </si>
  <si>
    <t>Tiêm chủng mở rộng</t>
  </si>
  <si>
    <t xml:space="preserve"> - Tỷ lệ tiêm chủng đầy đủ 8 loại vắc xin cho trẻ dưới 1 tuổi</t>
  </si>
  <si>
    <t>&gt;98</t>
  </si>
  <si>
    <t xml:space="preserve"> - Tỷ lệ tiêm chủng vắc xin uốn ván cho phụ nữ có thai</t>
  </si>
  <si>
    <t>&gt;90</t>
  </si>
  <si>
    <t>Chăm sóc sức khỏe sinh sản</t>
  </si>
  <si>
    <t xml:space="preserve">  - Tỷ lệ phụ nữ có thai khám ít nhất 3 lần trong thai kỳ</t>
  </si>
  <si>
    <t xml:space="preserve">  - Tỷ lệ phụ nữ đẻ được nhân viên y tế đã qua đào tạo đỡ</t>
  </si>
  <si>
    <t xml:space="preserve">  - Tỷ lệ bà mẹ và trẻ sơ sinh được chăm sóc sau sinh</t>
  </si>
  <si>
    <t xml:space="preserve">  - Tỷ suất tử vong trẻ em dưới 1 tuổi</t>
  </si>
  <si>
    <t>&lt;8,4</t>
  </si>
  <si>
    <t>Cải thiện tình trạng dinh dưỡng trẻ em</t>
  </si>
  <si>
    <t xml:space="preserve"> - Tỷ lệ suy dinh dưỡng nhẹ cân của trẻ em dưới 5 tuổi</t>
  </si>
  <si>
    <t xml:space="preserve"> - Tỷ lệ suy dinh dưỡng thấp còi của trẻ em dưới 5 tuổi</t>
  </si>
  <si>
    <t>Nâng cao năng lực, truyền thông và giám sát, đánh giá thực hiện Chương trình</t>
  </si>
  <si>
    <t xml:space="preserve"> - Số lớp tập huấn cho cán bộ quản lý</t>
  </si>
  <si>
    <t>Lớp</t>
  </si>
  <si>
    <t xml:space="preserve"> - Tỷ lệ các huyện được giám sát theo kế hoạch</t>
  </si>
  <si>
    <t>Y tế học đường</t>
  </si>
  <si>
    <t xml:space="preserve"> - Tỷ lệ cán bộ chuyên trách y tế trường học các cấp được tập huấn</t>
  </si>
  <si>
    <t xml:space="preserve"> - Tỷ lệ cán bộ chuyên trách y tế trường học các cấp ngành giáo dục được tập huấn</t>
  </si>
  <si>
    <t xml:space="preserve">  - Tỷ lệ học sinh, giáo viên cả nước được tiếp cận thông tin, truyền thông phòng chống bệnh học đường</t>
  </si>
  <si>
    <t xml:space="preserve">  - Tỷ lệ học sinh của các trường điểm được tẩy giun định kỳ 2 lần/năm</t>
  </si>
  <si>
    <t xml:space="preserve">  - Số trường học tối thiểu được kiểm tra yếu tố vệ sinh trường học</t>
  </si>
  <si>
    <t>Trường</t>
  </si>
  <si>
    <t xml:space="preserve"> CHƯƠNG TRÌNH MTQG VỆ SINH AN TOÀN THỰC PHẨM (VSATTP)</t>
  </si>
  <si>
    <t xml:space="preserve"> - Tỷ lệ cơ sở sản xuất, kinh doanh, chế biến thực phẩm được kiểm tra đạt yêu cầu về VSATTP </t>
  </si>
  <si>
    <t>Không đạt KH</t>
  </si>
  <si>
    <t>Tỷ lệ khu công nghiệp lấp đầy 50% diện tích (hoặc có nước thải ổn định) được đầu tư trạm quan trắc môi trường.</t>
  </si>
  <si>
    <t>Số khu công nghiệp đang hoạt động</t>
  </si>
  <si>
    <t>Số KCN có hệ thống xử lý nước thải tập trung</t>
  </si>
  <si>
    <t>KCN</t>
  </si>
  <si>
    <r>
      <t>Ghi chú:</t>
    </r>
    <r>
      <rPr>
        <sz val="13"/>
        <rFont val="Times New Roman"/>
        <family val="1"/>
      </rPr>
      <t xml:space="preserve"> Năm 2014 toàn tỉnh có 31 KCN được thành lập, trong đó có 28KCN đang hoạt động (có dự án đầu tư đang hoạt động)</t>
    </r>
  </si>
  <si>
    <t>Trong 28 KCN có hệ thống XLNTTT, trong đó: có 24 KCN có lượng nước thải ổn định và HT XLNT đang hoạt động, 2 KCN đã hoàn thiện HTXLNT nhưng lượng nước thải chưa ổn định để vận hành (KCN Nhơn Trạch II-Nhơn Phú và KCN Long Khánh, 2 KCN đã xây dựng HTXLNT nhưng chưa vận hành do chưa hoàn thành đền bù giải tỏa để xây dựng tuyến ống thu gom</t>
  </si>
  <si>
    <t>DANH MỤC CÁC DỰ ÁN QUY HOẠCH NĂM 2015 CỦA TỈNH ĐỒNG NAI</t>
  </si>
  <si>
    <t>- Tỷ lệ hộ gia đình văn hóa</t>
  </si>
  <si>
    <t>- Tỷ lệ ấp, khu phố văn hóa</t>
  </si>
  <si>
    <t>- Tỷ lệ cơ quan, đơn vị văn hóa</t>
  </si>
  <si>
    <t xml:space="preserve"> - Tỷ lệ ca ngộ độc/100.000 dân trong các vụ ngộ độc thực phẩm được báo cáo</t>
  </si>
  <si>
    <t>&lt;9</t>
  </si>
  <si>
    <t xml:space="preserve"> - Tỷ lệ cán bộ làm công tác quản lý, thanh tra ATVSTP tại tuyến trung ương, khu vực tỉnh thành phố được bồi dưỡng và nâng cao về chuyên môn nghiệp vụ</t>
  </si>
  <si>
    <t xml:space="preserve"> - Tỷ lệ cán bộ làm công tác vệ sinh ATVSTP tại tuyến cơ sở được bồi dưỡng và nâng cao về chuyên môn nghiệp vụ và kiến thức ATVSTP</t>
  </si>
  <si>
    <t xml:space="preserve"> - Tỷ lệ người lãnh đạo quản lý hiểu đúng và được cập nhật lại kiến thức về VSATTP</t>
  </si>
  <si>
    <t xml:space="preserve"> - Tỷ lệ người sản xuất thực phẩm  hiểu và thực hành đúng về an toàn thực phẩm được cập nhật lại kiến thức về VSATTP.</t>
  </si>
  <si>
    <t xml:space="preserve"> - Tỷ lệ người kinh doanh thực phẩm  hiểu và thực hành đúng an toàn thực phẩm.</t>
  </si>
  <si>
    <t xml:space="preserve"> - Tỷ lệ người tiêu dùng thực phẩm  hiểu đúng và được cập nhật lại kiến thức về VSATTP</t>
  </si>
  <si>
    <t xml:space="preserve"> - Số phòng thí nghiệm cấp tỉnh tham gia thử nghiệm liên phòng đánh giá chất lượng kiểm nghiệm</t>
  </si>
  <si>
    <t>Phòng</t>
  </si>
  <si>
    <t xml:space="preserve"> - Tỷ lệ cơ sở dịch vụ ăn uống do tỉnh/thành phố quản lý và cơ sở SXKD thực phẩm do ngành y tế quản lý được cấp giấy chứng nhận đủ điều kiện VSATTP</t>
  </si>
  <si>
    <t xml:space="preserve"> - Tỷ lệ kiểm tra cơ sở sản xuất kinh doanh thực phẩm nông sản về ATVSTP (số cơ sở được kiểm tra/tổng số cơ sở sản xuất kinh doanh)</t>
  </si>
  <si>
    <t xml:space="preserve"> - Tỷ lệ kiểm tra cơ sở sản xuất kinh doanh thực phẩm thủy sản về ATVSTP (số cơ sở được kiểm tra/tổng số cơ sở sản xuất kinh doanh)</t>
  </si>
  <si>
    <t xml:space="preserve"> CHƯƠNG TRÌNH MTQG PHÒNG CHỐNG HIV/AIDS</t>
  </si>
  <si>
    <t xml:space="preserve"> - Số mẫu giám sát HIV và giám sát trọng điểm STI</t>
  </si>
  <si>
    <t>Mẫu</t>
  </si>
  <si>
    <t xml:space="preserve"> - Số bệnh nhhân người lớn điều trị ARV</t>
  </si>
  <si>
    <t xml:space="preserve">  -  Số bệnh nhân trẻ em điều trị ARV</t>
  </si>
  <si>
    <t xml:space="preserve">  - Tỷ lệ cán bộ bị phơi nhiễm với HIV/AIDS do tai nạn rủi ro nghề nghiệp được tiếp cận điều trị dự phòng băng ARV</t>
  </si>
  <si>
    <t>- Tỷ lệ cơ quan thông tin đại chúng địa phương thực hiện tổ chức truyền thông phòng, chống HIV/AIDS theo hướng dẫn của Bộ Thông tin và Truyền thông và Bộ Y tế</t>
  </si>
  <si>
    <t>- Tỷ lệ xã tổ chức mô hình truyền thông về phòng, chống HIV/AIDS</t>
  </si>
  <si>
    <t>- Tỷ lệ doanh nghiệp, cơ sở vui chơi giải trí triển khai phòng, chống HIV/AIDS</t>
  </si>
  <si>
    <t xml:space="preserve"> - Số mẫu giám sát HIV</t>
  </si>
  <si>
    <t xml:space="preserve"> - Tỷ lệ người nghiện, chích ma túy sử dụng bơm kim tiêm sạch</t>
  </si>
  <si>
    <t xml:space="preserve"> - Tỷ lệ người bán dâm sử dụng bao cao su trong quan hệ tình dục</t>
  </si>
  <si>
    <t xml:space="preserve"> - Tỷ lệ phụ nữ mang thai được tư vấn và xét nghiệm HIV</t>
  </si>
  <si>
    <t xml:space="preserve"> - Tỷ lệ phụ nữ mang thai được  xét nghiệm HIV</t>
  </si>
  <si>
    <t xml:space="preserve"> - Tỷ lệ phụ nữ mang nhiễm HIV và con của họ được điều trị dự phòng bằng thuốc ARV</t>
  </si>
  <si>
    <t xml:space="preserve"> - Tỷ lệ mẹ nhiễm HIV và con của họ được tiếp tục chăm sóc và nhận các can thiệp phù hợp sau sinh</t>
  </si>
  <si>
    <t xml:space="preserve"> - Tỷ lệ người nhiễm HIV (quản lý được) tham gia sinh hoạt trong các câu lạc bộ nhóm đồng đẳng và các loại hình hoạt động phòng, chống HIV/AIDS khác</t>
  </si>
  <si>
    <t xml:space="preserve"> - Tỷ lệ người nhiễm HIV trong cộng đồng được phát hiện và báo cáo</t>
  </si>
  <si>
    <t xml:space="preserve">  - Tỷ lệ người đồng giới nam sử dụng bao cao su khi quan hệ tình dục đồng giới qua đường hậu môn.</t>
  </si>
  <si>
    <t xml:space="preserve"> - Tỷ lệ bệnh nhân lao được  xét nghiệm HIV</t>
  </si>
  <si>
    <t xml:space="preserve"> - Số người nhiễm HIV được điều trị INH</t>
  </si>
  <si>
    <t xml:space="preserve"> CHƯƠNG TRÌNH MTQG VĂN HÓA</t>
  </si>
  <si>
    <t xml:space="preserve"> - Tỷ lệ ấp khu phố văn hóa được công nhận ấp khu phố VH</t>
  </si>
  <si>
    <t>89,47</t>
  </si>
  <si>
    <t>90,07</t>
  </si>
  <si>
    <t>92,06</t>
  </si>
  <si>
    <t xml:space="preserve"> - Tỷ lệ hộ gia đình được công nhận gia đình văn hóa</t>
  </si>
  <si>
    <t>96,95</t>
  </si>
  <si>
    <t>97,38</t>
  </si>
  <si>
    <t>97,84</t>
  </si>
  <si>
    <t>97,5</t>
  </si>
  <si>
    <t xml:space="preserve"> - Tỷ lệ cơ quan, đơn vị có đời sống văn hóa tốt</t>
  </si>
  <si>
    <t>93,4</t>
  </si>
  <si>
    <t>98,85</t>
  </si>
  <si>
    <t xml:space="preserve"> - Tu bổ, tôn tạo di tích</t>
  </si>
  <si>
    <t>Di tích</t>
  </si>
  <si>
    <t xml:space="preserve"> - Sưu tầm văn hóa phi vật thể</t>
  </si>
  <si>
    <t xml:space="preserve"> - Trung tâm văn hóa cấp huyện được hỗ trợ trang thiết bị</t>
  </si>
  <si>
    <t>Trung tâm</t>
  </si>
  <si>
    <t xml:space="preserve"> - Trung tâm văn hóa cấp xã được hỗ trợ trang thiết bị</t>
  </si>
  <si>
    <t xml:space="preserve"> - Nhà văn hóa ấp, khu phố được hỗ trợ trang thiết bị</t>
  </si>
  <si>
    <t>Nhà văn hóa</t>
  </si>
  <si>
    <t xml:space="preserve"> - Hỗ trợ xây dựng nhà văn hóa cấp xã</t>
  </si>
  <si>
    <t xml:space="preserve"> - Hỗ trợ xây dựng nhà văn hóa thôn, bản</t>
  </si>
  <si>
    <t xml:space="preserve"> - Tu bổ cấp thiết di tích </t>
  </si>
  <si>
    <t>So sánh TH 2014/  Nghị quyết 06-NQ/TU</t>
  </si>
  <si>
    <t>Mục tiêu 2015</t>
  </si>
  <si>
    <t>So sánh Mục tiêu 2015/ TH 2014</t>
  </si>
  <si>
    <t>11,5-12,5</t>
  </si>
  <si>
    <t>Cao hơn</t>
  </si>
  <si>
    <t>Tăng 12,8%</t>
  </si>
  <si>
    <t>Tăng thêm 300 USD</t>
  </si>
  <si>
    <t>54-55</t>
  </si>
  <si>
    <t>Tăng 19%</t>
  </si>
  <si>
    <t>29-30</t>
  </si>
  <si>
    <t>Tăng 1%</t>
  </si>
  <si>
    <t>Tỷ lệ thu ngân sách/GRDP</t>
  </si>
  <si>
    <t>22-23</t>
  </si>
  <si>
    <t>Dưới 2,5%</t>
  </si>
  <si>
    <t>Trên 99,6%</t>
  </si>
  <si>
    <t>Phụ lục 2:</t>
  </si>
  <si>
    <t>DỰ KIẾN MỤC TIÊU PHÁT TRIỂN KINH TẾ - XÃ HỘI NĂM 2015</t>
  </si>
  <si>
    <t>Tăng 20 SV</t>
  </si>
  <si>
    <t>Tăng 3%</t>
  </si>
  <si>
    <t>Tăng 2%</t>
  </si>
  <si>
    <t>Tăng 0,3</t>
  </si>
  <si>
    <t>Tăng 0,5</t>
  </si>
  <si>
    <t>Giảm 1%</t>
  </si>
  <si>
    <t>Giảm 0,6%</t>
  </si>
  <si>
    <t>Theo chuẩn mới</t>
  </si>
  <si>
    <t>Tăng 1,2%</t>
  </si>
  <si>
    <t>Tăng 1,4%</t>
  </si>
  <si>
    <t>Tăng 0,6%</t>
  </si>
  <si>
    <t xml:space="preserve">  - Thiết bị đội tuyên truyền lưu động (tỉnh, huyện)</t>
  </si>
  <si>
    <t>Đội TTLĐ</t>
  </si>
  <si>
    <t>IX</t>
  </si>
  <si>
    <t xml:space="preserve"> CHƯƠNG TRÌNH GIÁO DỤC VÀ ĐÀO TẠO</t>
  </si>
  <si>
    <t xml:space="preserve"> - Giáo viên dạy tiếng Anh cốt cán cấp tiểu học, THCS, THPT  được bồi dưỡng nâng cao năng lực tiếng Anh tại địa phương và tham gia lớp bồi dưỡng nâng cao năng lực tiếng Anh do Trung ương tổ chức</t>
  </si>
  <si>
    <t>Giáo viên</t>
  </si>
  <si>
    <t xml:space="preserve"> - Trường được trang thiết bị phục vụ dạy ngoại ngữ</t>
  </si>
  <si>
    <t>Hỗ trợ phổ cập giáo dục mầm non 5 tuổi</t>
  </si>
  <si>
    <t xml:space="preserve"> - Thiết bị dạy học tối thiểu</t>
  </si>
  <si>
    <t>Bộ</t>
  </si>
  <si>
    <t xml:space="preserve">  - Số trường học được trang bị thiết bị dạy học tối thiểu</t>
  </si>
  <si>
    <t xml:space="preserve"> - Đồ chơi ngoài trời</t>
  </si>
  <si>
    <t xml:space="preserve">  - Số trường học được trang bị đồ chơi ngoài trời</t>
  </si>
  <si>
    <t xml:space="preserve"> - Thiết bị phần mềm trò chơi làm quen với máy tính</t>
  </si>
  <si>
    <t>X</t>
  </si>
  <si>
    <t xml:space="preserve"> CHƯƠNG TRÌNH MTQG PHÒNG CHỐNG MA TÚY</t>
  </si>
  <si>
    <t xml:space="preserve"> - Tỷ lệ người cai nghiện có hồ sơ quản lý</t>
  </si>
  <si>
    <t xml:space="preserve"> - Tỷ lệ người nghiện cai nghiện tại cơ sở tập trung</t>
  </si>
  <si>
    <t>&gt;50</t>
  </si>
  <si>
    <t>V­ît KH</t>
  </si>
  <si>
    <t xml:space="preserve"> - Tỷ lệ triệt phá diện tích tái trồng cây thuốc phiện, cần sa được phát hiện</t>
  </si>
  <si>
    <t xml:space="preserve"> - Tỷ lệ số vụ bắt giữ tội phạm ma túy tăng so với năm trước</t>
  </si>
  <si>
    <t xml:space="preserve">  5 - 8</t>
  </si>
  <si>
    <t xml:space="preserve"> - Số xã, phường, thị trấn có ma túy giảm so với năm trước</t>
  </si>
  <si>
    <t>xã</t>
  </si>
  <si>
    <t xml:space="preserve">  2 - 5</t>
  </si>
  <si>
    <t>Tỷ lệ diện tích tái trồng cây thuốc phiện được phát hiện triệt phá</t>
  </si>
  <si>
    <t xml:space="preserve"> CHƯƠNG TRÌNH MTQG PHÒNG CHỐNG TỘI PHẠM</t>
  </si>
  <si>
    <t xml:space="preserve">  - Tỷ lệ truy bắt, vận động các đối tượng hiện có</t>
  </si>
  <si>
    <t xml:space="preserve">  - Tỷ lệ điều tra, khám phá các vụ án đặc biệt nghiêm trọng</t>
  </si>
  <si>
    <t>&gt; 90</t>
  </si>
  <si>
    <t>&gt;93</t>
  </si>
  <si>
    <t xml:space="preserve"> - Tỷ lệ điều tra, khám phá các vụ án</t>
  </si>
  <si>
    <t>&gt; 80</t>
  </si>
  <si>
    <t>&gt;70</t>
  </si>
  <si>
    <t>&gt; 70</t>
  </si>
  <si>
    <t>- Tỷ lệ trẻ em suy dinh dưỡng cân nặng theo độ tuổi giảm còn 10%.</t>
  </si>
  <si>
    <t>- Tỷ lệ trẻ em suy dinh dưỡng chiều cao theo độ tuổi giảm còn 25%.</t>
  </si>
  <si>
    <r>
      <t xml:space="preserve">- </t>
    </r>
    <r>
      <rPr>
        <i/>
        <sz val="12"/>
        <rFont val="Times New Roman"/>
        <family val="1"/>
      </rPr>
      <t xml:space="preserve">Trong đó: </t>
    </r>
    <r>
      <rPr>
        <sz val="12"/>
        <rFont val="Times New Roman"/>
        <family val="1"/>
      </rPr>
      <t>Tỷ lệ lao động được đào tạo nghề</t>
    </r>
  </si>
  <si>
    <t>Doanh nghiệp Nhà nước (DNNN)</t>
  </si>
  <si>
    <t xml:space="preserve">Số DNNN đang hoạt động </t>
  </si>
  <si>
    <t>Trong đó :</t>
  </si>
  <si>
    <t xml:space="preserve">Doanh nghiệp 100% vốn nhà nước </t>
  </si>
  <si>
    <t xml:space="preserve">Doanh nghiệp &gt;50% vốn nhà nước </t>
  </si>
  <si>
    <t>Số DNNN cổ phần hóa</t>
  </si>
  <si>
    <t>Số DNNN thực hiện hình thức sắp xếp khác (thoái vốn, giao bán, hợp nhất, giải thể, phá sản…)</t>
  </si>
  <si>
    <t>Tổng vốn chủ sở hữu tại doanh nghiệp</t>
  </si>
  <si>
    <t xml:space="preserve">Tổng vốn Điều lệ </t>
  </si>
  <si>
    <t>Đóng góp ngân sách</t>
  </si>
  <si>
    <t>Doanh nghiệp ngoài nhà nước</t>
  </si>
  <si>
    <t>Số doanh nghiệp đang hoạt động lũy kế đến kỳ báo cáo</t>
  </si>
  <si>
    <t>Số doanh nghiệp kinh doanh có lãi</t>
  </si>
  <si>
    <t>Số lao động trong doanh nghiệp</t>
  </si>
  <si>
    <t>Trong đó lao động nữ</t>
  </si>
  <si>
    <t>Thu nhập bình quân người lao động</t>
  </si>
  <si>
    <t>Tổng vốn đầu tư thực hiện</t>
  </si>
  <si>
    <t>Doanh thu thuần</t>
  </si>
  <si>
    <t>Lợi nhuận trước thuế</t>
  </si>
  <si>
    <t>Tổng ngân sách thực hiện các chương trình hỗ trợ doanh nghiệp nhỏ và vừa trên địa bàn</t>
  </si>
  <si>
    <t>Tổng số hợp tác xã</t>
  </si>
  <si>
    <t>Tổng số Liên hiệp hợp tác xã</t>
  </si>
  <si>
    <t>Tổng số xã viên hợp tác xã</t>
  </si>
  <si>
    <t>Tổng doanh thu hợp tác xã</t>
  </si>
  <si>
    <t>Trong đó: doanh thu cung ứng cho xã viên</t>
  </si>
  <si>
    <t>Tổng số lãi trước thuế của hợp tác xã</t>
  </si>
  <si>
    <t>Tổng số cán bộ quản lý hợp tác xã</t>
  </si>
  <si>
    <t>Tổng số lao động trong HTX</t>
  </si>
  <si>
    <t>Thu nhập bình quân một lao động của HTX</t>
  </si>
  <si>
    <t>6500-7500</t>
  </si>
  <si>
    <t>7.000 - 8.000</t>
  </si>
  <si>
    <t>- Số doanh nghiệp đăng ký thành lập mới trong năm</t>
  </si>
  <si>
    <t xml:space="preserve"> - Tổng số vốn doanh nghiệp ĐKKD đăng ký mới và vốn đăng ký bổ sung trong năm</t>
  </si>
  <si>
    <t>Quy hoạch mạng lưới kinh doanh Vật liệu xây dựng có điều kiện trên địa bàn tỉnh Đồng Nai đến năm 2010 và định hướng đến năm 2020</t>
  </si>
  <si>
    <t>Quy hoạch bán lẻ thuốc lá giai đoạn 2015-2020 có tính đến 2025</t>
  </si>
  <si>
    <t>Quy hoạch phát triển ngành Dệt may - Da giầy trên địa bàn tỉnh Đồng Nai đến 2020 tầm nhìn đến 2030</t>
  </si>
  <si>
    <t>Quy hoạch phát triển điện lực tỉnh Đồng Nai giai đoạn 2016-2025 tầm nhìn 2035</t>
  </si>
  <si>
    <t>Điều chỉnh quy hoạch tổng thể phát triển ngành công nghiệp trên địa bàn tỉnh Đồng nai đến năm 2020, tầm nhìn đến 2030</t>
  </si>
  <si>
    <t>UBND tĩnh</t>
  </si>
  <si>
    <t>Quy hoạch phát triển hạ tầng kinh tế - xã hội - môi trường; Phát triển các khu dân cư mới và chỉnh trang các khu dân cư hiện có trên địa bàn 33 xã điểm nông thôn mới.</t>
  </si>
  <si>
    <t>Quy hoạch phát triển ngành giáo dục đào tạo tỉnh Đồng Nai giai đoạn 2011 - 2020</t>
  </si>
  <si>
    <t>Điều chỉnh quy hoạch tổng thể phát triển ngành y tế tỉnh Đồng Nai đến năm 2020</t>
  </si>
  <si>
    <t>Quy hoạch phát triển ngành văn hóa tỉnh Đồng Nai đến năm 2020</t>
  </si>
  <si>
    <t>Quy hoạch phát triển ngành thể thao tỉnh Đồng Nai đến năm 2020</t>
  </si>
  <si>
    <t>Quy hoạch phát triển ngành du lịch tỉnh Đồng Nai đến năm 2020</t>
  </si>
  <si>
    <t>Quy hoạch phát triển gia đình tỉnh Đồng Nai đến năm 2020</t>
  </si>
  <si>
    <t>Quy hoạch định hướng phát triển Đài phát thanh truyền hình Đồng Nai đến năm 2020, tầm nhìn 2030</t>
  </si>
  <si>
    <t>Điều chỉnh quy hoạch phát triển khoa học và công nghệ tỉnh Đồng Nai đến năm 2020</t>
  </si>
  <si>
    <t>Điều chỉnh quy hoạch tổng thể phát triển kinh tế - xã hội huyện Vĩnh Cửu đến năm 2020</t>
  </si>
  <si>
    <t>Điều chỉnh quy hoạch tổng thể phát triển kinh tế - xã hội Thành phố Biên Hòa đến năm 2020</t>
  </si>
  <si>
    <t>Điều chỉnh quy hoạch tổng thể phát triển kinh tế - xã hội huyện Thống Nhất đến năm 2020</t>
  </si>
  <si>
    <t>Điều chỉnh quy hoạch tổng thể phát triển kinh tế - xã hội huyện Long Thành đến năm 2020</t>
  </si>
  <si>
    <t>Điều chỉnh quy hoạch tổng thể phát triển kinh tế - xã hội huyện Trảng Bom đến năm 2020</t>
  </si>
  <si>
    <t>Điều chỉnh quy hoạch tổng thể phát triển kinh tế - xã hội huyện Định Quán đến năm 2020</t>
  </si>
  <si>
    <t>Điều chỉnh quy hoạch tổng thể phát triển kinh tế - xã hội huyện Xuân Lộc đến năm 2020</t>
  </si>
  <si>
    <t>Điều chỉnh quy hoạch tổng thể phát triển kinh tế - xã hội huyện Tân Phú đến năm 2020</t>
  </si>
  <si>
    <t>Điều chỉnh quy hoạch tổng thể phát triển kinh tế - xã hội huyện Cẩm Mỹ đến năm 2020</t>
  </si>
  <si>
    <t>Điều chỉnh quy hoạch tổng thể phát triển kinh tế - xã hội Thị xã Long Khánh đến năm 2020</t>
  </si>
  <si>
    <t>Điều chỉnh quy hoạch tổng thể phát triển kinh tế - xã hội huyện Nhơn Trạch đến năm 2020</t>
  </si>
  <si>
    <t>Quy hoạch tổng thể xây dựng nông thôn mới cho 136 xã vùng nông thôn tỉnh Đồng Nai</t>
  </si>
  <si>
    <t>Ước TH 
năm 2014</t>
  </si>
  <si>
    <t>2005-2014</t>
  </si>
  <si>
    <t>2011-2014</t>
  </si>
  <si>
    <t>Quy hoạch chung xung quanh cảng hàng không quốc tế Long Thành</t>
  </si>
  <si>
    <t>2008-2014</t>
  </si>
  <si>
    <t>2012-2014</t>
  </si>
  <si>
    <t>Quy hoạch mạng lưới mua bán sản phẩm thuốc lá trên địa bàn tỉnh Đồng Nai đến năm 2020, có xét đến năm 2025</t>
  </si>
  <si>
    <t>Quy hoạch bổ sung mạng lưới kinh doanh xăng dầu năm 2015.</t>
  </si>
  <si>
    <t>Trong đó: Nữ</t>
  </si>
  <si>
    <t>Số học sinh nhà trẻ</t>
  </si>
  <si>
    <t>HS</t>
  </si>
  <si>
    <t>Số học sinh mẫu giáo</t>
  </si>
  <si>
    <t>Số học sinh tiểu học</t>
  </si>
  <si>
    <t>Số học sinh trung học cơ sở</t>
  </si>
  <si>
    <t>Số học sinh trung học phổ thông</t>
  </si>
  <si>
    <t>- Tỷ lệ trẻ em trong độ tuổi đi học Nhà trẻ</t>
  </si>
  <si>
    <t>- Tỷ lệ học sinh đi học đúng độ tuổi</t>
  </si>
  <si>
    <t>Tiểu học</t>
  </si>
  <si>
    <t>Trung học cơ sở</t>
  </si>
  <si>
    <t>- Tỷ lệ SV đại học, cao đẳng/vạn dân</t>
  </si>
  <si>
    <t>SV/10.000  Dân</t>
  </si>
  <si>
    <t>Quy hoạch khu sản xuất nông nghiệp và cơ sở hạ tầng kèm theo cho 103 xã nông thôn mới tỉnh Đồng Nai</t>
  </si>
  <si>
    <t>Quy hoạch chi tiết trung tâm xã, các điểm dân cư và hạ tầng kèm theo cho 103 xã nông thôn mới tỉnh Đồng Nai</t>
  </si>
  <si>
    <t>Quy hoạch phát triển ngành công nghiệp chế biến nông sản thực phẩm giai đoạn 2016-2025, có xét đến 2030</t>
  </si>
  <si>
    <t>QUY HOẠCH TRIỂN KHAI MỚI</t>
  </si>
  <si>
    <t>Quy hoạch phát triển ngành thương mại tỉnh Đồng Nai đến năm 2020, định hướng đến năm 2025</t>
  </si>
  <si>
    <t>Quy hoạch phát triển hệ thống chợ tỉnh Đồng Nai đến năm 2020, định hướng đến năm 2025</t>
  </si>
  <si>
    <t>Quy hoạch phát triển ngành công nghiệp cơ khí chế tạo trên địa bàn tỉnh Đồng Nai đến năm 2020, có xét đến năm 2025</t>
  </si>
  <si>
    <t>- Tốc độ tăng dân số</t>
  </si>
  <si>
    <t>- Tỷ lệ tăng dân số tự nhiên</t>
  </si>
  <si>
    <t>- Cam</t>
  </si>
  <si>
    <t xml:space="preserve">- Dứa </t>
  </si>
  <si>
    <t>- Chuối</t>
  </si>
  <si>
    <t>- Xoài</t>
  </si>
  <si>
    <t xml:space="preserve">- Chôm chôm </t>
  </si>
  <si>
    <t>- Bưởi</t>
  </si>
  <si>
    <t>- Sầu riêng</t>
  </si>
  <si>
    <t>- Mít</t>
  </si>
  <si>
    <t>- Nhãn</t>
  </si>
  <si>
    <t>- Mãng cầu</t>
  </si>
  <si>
    <t>- Măng cụt</t>
  </si>
  <si>
    <r>
      <t xml:space="preserve">Giá trị sản xuất </t>
    </r>
    <r>
      <rPr>
        <i/>
        <sz val="13"/>
        <rFont val="Times New Roman"/>
        <family val="1"/>
      </rPr>
      <t>(giá hiện hành)</t>
    </r>
  </si>
  <si>
    <r>
      <t xml:space="preserve">Giá trị sản xuất </t>
    </r>
    <r>
      <rPr>
        <b/>
        <i/>
        <sz val="12"/>
        <rFont val="Times New Roman"/>
        <family val="1"/>
      </rPr>
      <t>(hiện hành)</t>
    </r>
  </si>
  <si>
    <t>Giá trị sản xuất (giá 1994)</t>
  </si>
  <si>
    <t>Giá trị sản xuất (giá 2010)</t>
  </si>
  <si>
    <t>29,76</t>
  </si>
  <si>
    <t>29,76%</t>
  </si>
  <si>
    <t>Thu gom và xử lý rác thải, trong đó:</t>
  </si>
  <si>
    <t>70-80%</t>
  </si>
  <si>
    <t>Rác thải y tế</t>
  </si>
  <si>
    <t>Thu gom  xử lý
100% rác thải y tế,
rác thải sinh hoạt
đô thị, chất thải rắn
CN không nguy hại</t>
  </si>
  <si>
    <t>Rác sinh hoạt</t>
  </si>
  <si>
    <t>Rác thải nguy hại</t>
  </si>
  <si>
    <t>Thu gom100%, xử lý trên 80% chất thải công nghiệp nguy hại</t>
  </si>
  <si>
    <t>KẾT QUẢ 2,5 NĂM THỰC HIỆN CÁC CHỈ TIÊU
NGHỊ QUYẾT ĐẠI HỘI ĐẠI BIỂU ĐẢNG BỘ TỈNH ĐỒNG NAI LẦN THỨ IX</t>
  </si>
  <si>
    <t>Giá trị tổng sản phẩm của tỉnh GRDP tăng bình quân (giá so sánh 94), Trong đó:</t>
  </si>
  <si>
    <t xml:space="preserve">    + Công nghiệp - xây dựng </t>
  </si>
  <si>
    <t xml:space="preserve">    + Dịch vụ</t>
  </si>
  <si>
    <t xml:space="preserve">    + Nông, lâm nghiệp và thuỷ sản</t>
  </si>
  <si>
    <t>GRDP (giá hiện hành), Trong đó:</t>
  </si>
  <si>
    <t>GRDP bình quân đầu người:</t>
  </si>
  <si>
    <t>Tổng kim ngạch xuất khẩu</t>
  </si>
  <si>
    <t>Tốc độ tăng kim ngạch XK hàng năm</t>
  </si>
  <si>
    <t xml:space="preserve"> Tổng thu ngân sách/Tổng GDP</t>
  </si>
  <si>
    <t>25</t>
  </si>
  <si>
    <t>Chưa có số liệu</t>
  </si>
  <si>
    <t>Thu gom 100%, xử lý 85% chất thải công nghiệp nguy hại</t>
  </si>
  <si>
    <t>Biểu số 1</t>
  </si>
  <si>
    <t>TT</t>
  </si>
  <si>
    <t>Chỉ tiêu</t>
  </si>
  <si>
    <t>Đơn vị</t>
  </si>
  <si>
    <t>Tỷ đồng</t>
  </si>
  <si>
    <t>- Lâm nghiệp</t>
  </si>
  <si>
    <t>%</t>
  </si>
  <si>
    <t>Xã</t>
  </si>
  <si>
    <t>A</t>
  </si>
  <si>
    <t>- Dịch vụ</t>
  </si>
  <si>
    <t>- Quốc doanh Trung ương</t>
  </si>
  <si>
    <t>- Quốc doanh địa phương</t>
  </si>
  <si>
    <t>- Kinh tế ngoài quốc doanh</t>
  </si>
  <si>
    <t>a)</t>
  </si>
  <si>
    <t>b)</t>
  </si>
  <si>
    <t>Trong đó:</t>
  </si>
  <si>
    <t xml:space="preserve">  Trong đó:</t>
  </si>
  <si>
    <t>Triệu USD</t>
  </si>
  <si>
    <t>- Thu thuế xuất, nhập khẩu</t>
  </si>
  <si>
    <t>- Thu nội địa</t>
  </si>
  <si>
    <t xml:space="preserve">  + Thu từ kinh tế Trung ương</t>
  </si>
  <si>
    <t xml:space="preserve">  + Thu ngoài quốc doanh</t>
  </si>
  <si>
    <t>Chi ngân sách địa phương</t>
  </si>
  <si>
    <t>- Nguồn ngân sách khác</t>
  </si>
  <si>
    <r>
      <t xml:space="preserve">Giá trị sản xuất nông, lâm nghiệp và thủy sản- </t>
    </r>
    <r>
      <rPr>
        <i/>
        <sz val="12"/>
        <rFont val="Times New Roman"/>
        <family val="1"/>
      </rPr>
      <t>Giá hiện hành</t>
    </r>
  </si>
  <si>
    <r>
      <t xml:space="preserve">Giá trị sản xuất nông, lâm nghiệp và thủy sản- </t>
    </r>
    <r>
      <rPr>
        <i/>
        <sz val="12"/>
        <rFont val="Times New Roman"/>
        <family val="1"/>
      </rPr>
      <t>Giá 1994</t>
    </r>
  </si>
  <si>
    <r>
      <t>Giá trị sản xuất nông, lâm nghiệp và thủy sản -</t>
    </r>
    <r>
      <rPr>
        <i/>
        <sz val="12"/>
        <rFont val="Times New Roman"/>
        <family val="1"/>
      </rPr>
      <t xml:space="preserve"> Giá 2010</t>
    </r>
  </si>
  <si>
    <r>
      <t>Giá trị xây dựng</t>
    </r>
    <r>
      <rPr>
        <i/>
        <sz val="12"/>
        <rFont val="Times New Roman"/>
        <family val="1"/>
      </rPr>
      <t xml:space="preserve"> (giá hiện hành)</t>
    </r>
  </si>
  <si>
    <r>
      <t xml:space="preserve">Giá trị xây dựng </t>
    </r>
    <r>
      <rPr>
        <i/>
        <sz val="12"/>
        <rFont val="Times New Roman"/>
        <family val="1"/>
      </rPr>
      <t>(giá so sánh 1994)</t>
    </r>
  </si>
  <si>
    <r>
      <t xml:space="preserve">Giá trị xây dựng </t>
    </r>
    <r>
      <rPr>
        <i/>
        <sz val="12"/>
        <rFont val="Times New Roman"/>
        <family val="1"/>
      </rPr>
      <t>(giá so sánh 2010)</t>
    </r>
  </si>
  <si>
    <t>Chi thường xuyên</t>
  </si>
  <si>
    <t>Tổng vốn đầu tư phát triển trên địa bàn</t>
  </si>
  <si>
    <t>B</t>
  </si>
  <si>
    <t>‰</t>
  </si>
  <si>
    <t>Biểu số 2</t>
  </si>
  <si>
    <t>Sản phẩm chủ yếu:</t>
  </si>
  <si>
    <t>Lâm nghiệp</t>
  </si>
  <si>
    <t>Chăn nuôi</t>
  </si>
  <si>
    <t>Biểu số 3</t>
  </si>
  <si>
    <t>Hộ</t>
  </si>
  <si>
    <t>- Tổng số học sinh đầu năm học</t>
  </si>
  <si>
    <t>Giường</t>
  </si>
  <si>
    <t>Bác sỹ</t>
  </si>
  <si>
    <t>I</t>
  </si>
  <si>
    <t>TỔNG SỐ</t>
  </si>
  <si>
    <t>Biểu số 5</t>
  </si>
  <si>
    <t>II</t>
  </si>
  <si>
    <t>Địa điểm 
xây dựng</t>
  </si>
  <si>
    <t>Dự án chuyển tiếp:</t>
  </si>
  <si>
    <t>- Dự án .......</t>
  </si>
  <si>
    <t>Biểu số 6</t>
  </si>
  <si>
    <t>Tổng số</t>
  </si>
  <si>
    <t>Trong đó</t>
  </si>
  <si>
    <t>Vốn trong nước</t>
  </si>
  <si>
    <t>- Trung ương quản lý</t>
  </si>
  <si>
    <t>- Địa phương quản lý</t>
  </si>
  <si>
    <t>Đơn vị: Tỷ đồng</t>
  </si>
  <si>
    <t>Năng lực
thiết kế</t>
  </si>
  <si>
    <t>Thu Ngân sách Nhà nước trên địa bàn</t>
  </si>
  <si>
    <t>Tỉnh, thành phố . . . . . . . .</t>
  </si>
  <si>
    <t>Biểu số 7</t>
  </si>
  <si>
    <t>C</t>
  </si>
  <si>
    <t>- Thời lượng phát thanh bằng tiếng dân tộc</t>
  </si>
  <si>
    <t>- Tỷ lệ trẻ em trong độ tuổi đi học mẫu giáo</t>
  </si>
  <si>
    <t>Chia ra:</t>
  </si>
  <si>
    <t>- Hỗ trợ có mục tiêu từ Ngân sách Trung ương</t>
  </si>
  <si>
    <t>HTX</t>
  </si>
  <si>
    <t>LHHTX</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</si>
  <si>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</si>
  <si>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</si>
  <si>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</si>
  <si>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</si>
  <si>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</si>
  <si>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</si>
  <si>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</si>
  <si>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</si>
  <si>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</si>
  <si>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</si>
  <si>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</si>
  <si>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</si>
  <si>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</si>
  <si>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</si>
  <si>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Người</t>
  </si>
  <si>
    <t xml:space="preserve">HỆ THỐNG MẪU BIỂU </t>
  </si>
  <si>
    <t>Kim ngạch xuất khẩu hàng hóa trên địa bàn</t>
  </si>
  <si>
    <t>Kim ngạch nhập khẩu hàng hóa trên địa bàn</t>
  </si>
  <si>
    <t>Đơn vị: Triệu đồng</t>
  </si>
  <si>
    <t>III</t>
  </si>
  <si>
    <t>Vốn nước ngoài</t>
  </si>
  <si>
    <t xml:space="preserve">  + Thu từ khu vực có vốn đầu tư nước ngoài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</si>
  <si>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</si>
  <si>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</si>
  <si>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</si>
  <si>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</si>
  <si>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</si>
  <si>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</si>
  <si>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</si>
  <si>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</si>
  <si>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</si>
  <si>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</si>
  <si>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DN</t>
  </si>
  <si>
    <t>Phụ lục 2</t>
  </si>
  <si>
    <t>(Đối với cấp huyện và cấp xã, căn cứ yêu cầu phát triển kinh tế - xã hội của địa phương, cấp tỉnh sẽ ban hành các biểu mẫu cụ thể)</t>
  </si>
  <si>
    <t>DANH MỤC CÁC DỰ ÁN TẠM ỨNG VỐN NGUỒN HỖ TRỢ MỤC TIÊU VÀ SỐ THU HỒI TRONG KẾ HOẠCH NĂM 2012</t>
  </si>
  <si>
    <t>Kế hoạch năm 2012</t>
  </si>
  <si>
    <t>IV</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</si>
  <si>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</si>
  <si>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</si>
  <si>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</si>
  <si>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</si>
  <si>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</si>
  <si>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</si>
  <si>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</si>
  <si>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</si>
  <si>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</si>
  <si>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</si>
  <si>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</si>
  <si>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</si>
  <si>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</si>
  <si>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</si>
  <si>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</si>
  <si>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 xml:space="preserve"> - Nguồn phát triển quỹ đất</t>
  </si>
  <si>
    <t xml:space="preserve"> - Nguồn thu từ xổ số kiến thiết</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</si>
  <si>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</si>
  <si>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</si>
  <si>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</si>
  <si>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</si>
  <si>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</si>
  <si>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</si>
  <si>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</si>
  <si>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</si>
  <si>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</si>
  <si>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</si>
  <si>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</si>
  <si>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</si>
  <si>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</si>
  <si>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</si>
  <si>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</si>
  <si>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</si>
  <si>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</si>
  <si>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</si>
  <si>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</si>
  <si>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</si>
  <si>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V</t>
  </si>
  <si>
    <t>VI</t>
  </si>
  <si>
    <t>VII</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</si>
  <si>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</si>
  <si>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</si>
  <si>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</si>
  <si>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</si>
  <si>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</si>
  <si>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</si>
  <si>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</si>
  <si>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</si>
  <si>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</si>
  <si>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</si>
  <si>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</si>
  <si>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</si>
  <si>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</si>
  <si>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</si>
  <si>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</si>
  <si>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</si>
  <si>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</si>
  <si>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</si>
  <si>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</si>
  <si>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</si>
  <si>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</si>
  <si>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</si>
  <si>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</si>
  <si>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</si>
  <si>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</si>
  <si>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</si>
  <si>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</si>
  <si>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Cả năm 2014</t>
  </si>
  <si>
    <t>Dự kiến 2015</t>
  </si>
  <si>
    <t>Ước TH 2014</t>
  </si>
  <si>
    <t>Ước TH 2014/ TH 2013 (%)</t>
  </si>
  <si>
    <t>Kế hoạch 2015</t>
  </si>
  <si>
    <t>Kế hoạch 2015/ Ước TH 2014 (%)</t>
  </si>
  <si>
    <t xml:space="preserve">   Trong đó, từ nước ngoài</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</si>
  <si>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</si>
  <si>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</si>
  <si>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</si>
  <si>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</si>
  <si>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</si>
  <si>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</si>
  <si>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</si>
  <si>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</si>
  <si>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</si>
  <si>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</si>
  <si>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</si>
  <si>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</si>
  <si>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</si>
  <si>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</si>
  <si>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9=7/4</t>
  </si>
  <si>
    <t>10=8/7</t>
  </si>
  <si>
    <t>Biểu số 4</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</si>
  <si>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</si>
  <si>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</si>
  <si>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</si>
  <si>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</si>
  <si>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</si>
  <si>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</si>
  <si>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</si>
  <si>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</si>
  <si>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</si>
  <si>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</si>
  <si>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</si>
  <si>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FDI tương ứng (tỷ đồng)</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</si>
</sst>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þ&quot;;[Red]\-#,##0\ &quot;þ&quot;"/>
    <numFmt numFmtId="181" formatCode="0.0"/>
    <numFmt numFmtId="182" formatCode="_-* #,##0.00\ _V_N_D_-;\-* #,##0.00\ _V_N_D_-;_-* &quot;-&quot;??\ _V_N_D_-;_-@_-"/>
    <numFmt numFmtId="183" formatCode="_(* #,##0_);_(* \(#,##0\);_(* &quot;-&quot;??_);_(@_)"/>
    <numFmt numFmtId="184" formatCode="\$#,##0\ ;\(\$#,##0\)"/>
    <numFmt numFmtId="185" formatCode="&quot;VND&quot;#,##0_);[Red]\(&quot;VND&quot;#,##0\)"/>
    <numFmt numFmtId="186" formatCode="&quot;\&quot;#,##0;[Red]&quot;\&quot;&quot;\&quot;\-#,##0"/>
    <numFmt numFmtId="187" formatCode="&quot;\&quot;#,##0.00;[Red]&quot;\&quot;&quot;\&quot;&quot;\&quot;&quot;\&quot;&quot;\&quot;&quot;\&quot;\-#,##0.00"/>
    <numFmt numFmtId="188" formatCode="&quot;\&quot;#,##0.00;[Red]&quot;\&quot;\-#,##0.00"/>
    <numFmt numFmtId="189" formatCode="&quot;\&quot;#,##0;[Red]&quot;\&quot;\-#,##0"/>
    <numFmt numFmtId="190" formatCode="_-&quot;€&quot;* #,##0_-;\-&quot;€&quot;* #,##0_-;_-&quot;€&quot;* &quot;-&quot;_-;_-@_-"/>
    <numFmt numFmtId="191" formatCode="#,##0\ &quot;€&quot;;[Red]\-#,##0\ &quot;€&quot;"/>
    <numFmt numFmtId="192" formatCode="_-&quot;€&quot;* #,##0.00_-;\-&quot;€&quot;* #,##0.00_-;_-&quot;€&quot;* &quot;-&quot;??_-;_-@_-"/>
    <numFmt numFmtId="193" formatCode="#,##0.0"/>
    <numFmt numFmtId="194" formatCode="_(* #,##0.0_);_(* \(#,##0.0\);_(* &quot;-&quot;??_);_(@_)"/>
    <numFmt numFmtId="195" formatCode="_-* #,##0.0\ _₫_-;\-* #,##0.0\ _₫_-;_-* &quot;-&quot;?\ _₫_-;_-@_-"/>
    <numFmt numFmtId="196" formatCode="0.0%"/>
    <numFmt numFmtId="197" formatCode="_-* #,##0.00\ _₫_-;\-* #,##0.00\ _₫_-;_-* &quot;-&quot;?\ _₫_-;_-@_-"/>
    <numFmt numFmtId="198" formatCode="0.0000"/>
    <numFmt numFmtId="199" formatCode="#,##0.000"/>
    <numFmt numFmtId="200" formatCode="_(* #,##0.000_);_(* \(#,##0.000\);_(* &quot;-&quot;??_);_(@_)"/>
    <numFmt numFmtId="201" formatCode="_(* #,##0.0_);_(* \(#,##0.0\);_(* &quot;-&quot;?_);_(@_)"/>
    <numFmt numFmtId="202" formatCode="#,##0.0000"/>
    <numFmt numFmtId="203" formatCode="#,##0.000000"/>
    <numFmt numFmtId="204" formatCode="&quot;Yes&quot;;&quot;Yes&quot;;&quot;No&quot;"/>
    <numFmt numFmtId="205" formatCode="&quot;True&quot;;&quot;True&quot;;&quot;False&quot;"/>
    <numFmt numFmtId="206" formatCode="&quot;On&quot;;&quot;On&quot;;&quot;Off&quot;"/>
    <numFmt numFmtId="207" formatCode="[$€-2]\ #,##0.00_);[Red]\([$€-2]\ #,##0.00\)"/>
    <numFmt numFmtId="208" formatCode="0.00000"/>
    <numFmt numFmtId="209" formatCode="0.000"/>
    <numFmt numFmtId="210" formatCode="_(* #,##0.00_);_(* \(#,##0.00\);_(* &quot;-&quot;&quot;?&quot;&quot;?&quot;_);_(@_)"/>
    <numFmt numFmtId="211" formatCode="0.0000000"/>
    <numFmt numFmtId="212" formatCode="0.00000000"/>
    <numFmt numFmtId="213" formatCode="0.000000"/>
    <numFmt numFmtId="214" formatCode="#,##0.0;[Red]#,##0.0"/>
    <numFmt numFmtId="215" formatCode="#,##0;[Red]#,##0"/>
    <numFmt numFmtId="216" formatCode="_(* #,##0.0000_);_(* \(#,##0.0000\);_(* &quot;-&quot;??_);_(@_)"/>
    <numFmt numFmtId="217" formatCode="#,##0.00;[Red]#,##0.00"/>
    <numFmt numFmtId="218" formatCode="0.0;[Red]0.0"/>
    <numFmt numFmtId="219" formatCode="_(* #,##0.0_);_(* \(#,##0.0\);_(* &quot;-&quot;_);_(@_)"/>
    <numFmt numFmtId="220" formatCode="_(* #,##0.00_);_(* \(#,##0.00\);_(* &quot;-&quot;_);_(@_)"/>
    <numFmt numFmtId="221" formatCode="_-* #,##0\ _€_-;\-* #,##0\ _€_-;_-* &quot;-&quot;\ _€_-;_-@_-"/>
    <numFmt numFmtId="222" formatCode="_(* #,##0.000_);_(* \(#,##0.000\);_(* &quot;-&quot;???_);_(@_)"/>
    <numFmt numFmtId="223" formatCode="#,##0.0_);\(#,##0.0\)"/>
  </numFmts>
  <fonts count="114">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sz val="12"/>
      <name val=".VnTime"/>
      <family val="2"/>
    </font>
    <font>
      <b/>
      <sz val="13"/>
      <name val="Times New Roman"/>
      <family val="1"/>
    </font>
    <font>
      <u val="single"/>
      <sz val="12"/>
      <color indexed="36"/>
      <name val="Times New Roman"/>
      <family val="1"/>
    </font>
    <font>
      <u val="single"/>
      <sz val="12"/>
      <color indexed="12"/>
      <name val="Times New Roman"/>
      <family val="1"/>
    </font>
    <font>
      <sz val="16"/>
      <name val="Times New Roman"/>
      <family val="1"/>
    </font>
    <font>
      <i/>
      <sz val="15"/>
      <name val="Times New Roman"/>
      <family val="1"/>
    </font>
    <font>
      <b/>
      <sz val="17"/>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b/>
      <sz val="15"/>
      <name val="Times New Roman"/>
      <family val="1"/>
    </font>
    <font>
      <sz val="10"/>
      <name val="Arial"/>
      <family val="2"/>
    </font>
    <font>
      <b/>
      <sz val="16"/>
      <name val="Times New Roman"/>
      <family val="1"/>
    </font>
    <font>
      <sz val="14"/>
      <color indexed="9"/>
      <name val="Times New Roman"/>
      <family val="1"/>
    </font>
    <font>
      <b/>
      <i/>
      <sz val="14"/>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15"/>
      <name val="Times New Roman"/>
      <family val="1"/>
    </font>
    <font>
      <sz val="14"/>
      <name val=".VnTimeH"/>
      <family val="2"/>
    </font>
    <font>
      <sz val="12"/>
      <name val="¹UAAA¼"/>
      <family val="3"/>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3"/>
      <name val="Times New Roman"/>
      <family val="1"/>
    </font>
    <font>
      <i/>
      <sz val="13"/>
      <name val="Times New Roman"/>
      <family val="1"/>
    </font>
    <font>
      <b/>
      <i/>
      <sz val="13"/>
      <name val="Times New Roman"/>
      <family val="1"/>
    </font>
    <font>
      <sz val="11"/>
      <color indexed="8"/>
      <name val="Calibri"/>
      <family val="2"/>
    </font>
    <font>
      <b/>
      <sz val="13"/>
      <color indexed="12"/>
      <name val="Times New Roman"/>
      <family val="1"/>
    </font>
    <font>
      <sz val="13"/>
      <color indexed="12"/>
      <name val="Times New Roman"/>
      <family val="1"/>
    </font>
    <font>
      <sz val="11"/>
      <name val="Times New Roman"/>
      <family val="1"/>
    </font>
    <font>
      <b/>
      <sz val="11"/>
      <name val="Times New Roman"/>
      <family val="1"/>
    </font>
    <font>
      <i/>
      <sz val="11"/>
      <name val="Times New Roman"/>
      <family val="1"/>
    </font>
    <font>
      <vertAlign val="superscript"/>
      <sz val="10"/>
      <name val="Times New Roman"/>
      <family val="1"/>
    </font>
    <font>
      <sz val="13"/>
      <name val=".VnTime"/>
      <family val="2"/>
    </font>
    <font>
      <sz val="11"/>
      <color indexed="8"/>
      <name val="Times New Roman"/>
      <family val="1"/>
    </font>
    <font>
      <b/>
      <i/>
      <sz val="11"/>
      <name val="Times New Roman"/>
      <family val="1"/>
    </font>
    <font>
      <b/>
      <sz val="11"/>
      <name val="Arial"/>
      <family val="2"/>
    </font>
    <font>
      <b/>
      <sz val="10"/>
      <name val="Arial"/>
      <family val="2"/>
    </font>
    <font>
      <b/>
      <u val="single"/>
      <sz val="10"/>
      <name val="Arial"/>
      <family val="2"/>
    </font>
    <font>
      <sz val="13"/>
      <color indexed="63"/>
      <name val="Times New Roman"/>
      <family val="1"/>
    </font>
    <font>
      <sz val="13"/>
      <color indexed="8"/>
      <name val="Times New Roman"/>
      <family val="1"/>
    </font>
    <font>
      <b/>
      <sz val="11"/>
      <color indexed="8"/>
      <name val="Times New Roman"/>
      <family val="1"/>
    </font>
    <font>
      <sz val="11"/>
      <name val="Arial"/>
      <family val="2"/>
    </font>
    <font>
      <sz val="11"/>
      <color indexed="8"/>
      <name val=".VnTime"/>
      <family val="2"/>
    </font>
    <font>
      <sz val="11"/>
      <name val=".VnTime"/>
      <family val="2"/>
    </font>
    <font>
      <sz val="11"/>
      <color indexed="10"/>
      <name val="Times New Roman"/>
      <family val="1"/>
    </font>
    <font>
      <sz val="11"/>
      <color indexed="10"/>
      <name val="Arial"/>
      <family val="2"/>
    </font>
    <font>
      <sz val="8"/>
      <name val="Tahoma"/>
      <family val="2"/>
    </font>
    <font>
      <b/>
      <sz val="8"/>
      <name val="Tahoma"/>
      <family val="2"/>
    </font>
    <font>
      <b/>
      <sz val="12"/>
      <color indexed="8"/>
      <name val="Times New Roman"/>
      <family val="1"/>
    </font>
    <font>
      <sz val="12"/>
      <color indexed="8"/>
      <name val="Times New Roman"/>
      <family val="1"/>
    </font>
    <font>
      <i/>
      <sz val="12"/>
      <color indexed="8"/>
      <name val="Times New Roman"/>
      <family val="1"/>
    </font>
    <font>
      <sz val="12"/>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3"/>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3"/>
      <color rgb="FFFF0000"/>
      <name val="Times New Roman"/>
      <family val="1"/>
    </font>
    <font>
      <b/>
      <sz val="8"/>
      <name val="Times New Roman"/>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s>
  <borders count="48">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color indexed="63"/>
      </bottom>
    </border>
    <border>
      <left style="thin"/>
      <right style="thin"/>
      <top style="thin"/>
      <bottom style="double"/>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double"/>
      <bottom style="double"/>
    </border>
    <border>
      <left style="thin"/>
      <right style="double"/>
      <top style="double"/>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style="hair"/>
      <bottom style="hair"/>
    </border>
    <border>
      <left style="thin"/>
      <right style="double"/>
      <top style="hair"/>
      <bottom style="hair"/>
    </border>
    <border>
      <left style="thin"/>
      <right style="thin"/>
      <top style="hair"/>
      <bottom style="double"/>
    </border>
    <border>
      <left style="thin"/>
      <right style="double"/>
      <top style="hair"/>
      <bottom style="double"/>
    </border>
    <border>
      <left style="thin"/>
      <right style="thin"/>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double"/>
      <right style="thin"/>
      <top style="hair"/>
      <bottom style="double"/>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183" fontId="29" fillId="0" borderId="1" applyNumberFormat="0" applyFont="0" applyBorder="0" applyAlignment="0">
      <protection/>
    </xf>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96" fillId="25" borderId="0" applyNumberFormat="0" applyBorder="0" applyAlignment="0" applyProtection="0"/>
    <xf numFmtId="0" fontId="30" fillId="0" borderId="0">
      <alignment/>
      <protection/>
    </xf>
    <xf numFmtId="0" fontId="30" fillId="0" borderId="0">
      <alignment/>
      <protection/>
    </xf>
    <xf numFmtId="0" fontId="97" fillId="26" borderId="2" applyNumberFormat="0" applyAlignment="0" applyProtection="0"/>
    <xf numFmtId="0" fontId="98" fillId="2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2" fontId="18"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9" fontId="0" fillId="0" borderId="0" applyFont="0" applyFill="0" applyBorder="0" applyAlignment="0" applyProtection="0"/>
    <xf numFmtId="3" fontId="1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0" fontId="99" fillId="0" borderId="0" applyNumberFormat="0" applyFill="0" applyBorder="0" applyAlignment="0" applyProtection="0"/>
    <xf numFmtId="2" fontId="18" fillId="0" borderId="0" applyFont="0" applyFill="0" applyBorder="0" applyAlignment="0" applyProtection="0"/>
    <xf numFmtId="0" fontId="7" fillId="0" borderId="0" applyNumberFormat="0" applyFill="0" applyBorder="0" applyAlignment="0" applyProtection="0"/>
    <xf numFmtId="0" fontId="100" fillId="28" borderId="0" applyNumberFormat="0" applyBorder="0" applyAlignment="0" applyProtection="0"/>
    <xf numFmtId="0" fontId="31" fillId="0" borderId="4" applyNumberFormat="0" applyAlignment="0" applyProtection="0"/>
    <xf numFmtId="0" fontId="31" fillId="0" borderId="5">
      <alignment horizontal="left" vertical="center"/>
      <protection/>
    </xf>
    <xf numFmtId="0" fontId="101" fillId="0" borderId="6" applyNumberFormat="0" applyFill="0" applyAlignment="0" applyProtection="0"/>
    <xf numFmtId="0" fontId="102" fillId="0" borderId="7" applyNumberFormat="0" applyFill="0" applyAlignment="0" applyProtection="0"/>
    <xf numFmtId="0" fontId="103" fillId="0" borderId="8" applyNumberFormat="0" applyFill="0" applyAlignment="0" applyProtection="0"/>
    <xf numFmtId="0" fontId="103" fillId="0" borderId="0" applyNumberFormat="0" applyFill="0" applyBorder="0" applyAlignment="0" applyProtection="0"/>
    <xf numFmtId="0" fontId="8" fillId="0" borderId="0" applyNumberFormat="0" applyFill="0" applyBorder="0" applyAlignment="0" applyProtection="0"/>
    <xf numFmtId="0" fontId="104" fillId="29" borderId="2" applyNumberFormat="0" applyAlignment="0" applyProtection="0"/>
    <xf numFmtId="0" fontId="105" fillId="0" borderId="9" applyNumberFormat="0" applyFill="0" applyAlignment="0" applyProtection="0"/>
    <xf numFmtId="3" fontId="32" fillId="0" borderId="10" applyNumberFormat="0" applyAlignment="0">
      <protection/>
    </xf>
    <xf numFmtId="3" fontId="33" fillId="0" borderId="10" applyNumberFormat="0" applyAlignment="0">
      <protection/>
    </xf>
    <xf numFmtId="3" fontId="34" fillId="0" borderId="10" applyNumberFormat="0" applyAlignment="0">
      <protection/>
    </xf>
    <xf numFmtId="0" fontId="35" fillId="0" borderId="0" applyNumberFormat="0" applyFont="0" applyFill="0" applyAlignment="0">
      <protection/>
    </xf>
    <xf numFmtId="0" fontId="106" fillId="30" borderId="0" applyNumberFormat="0" applyBorder="0" applyAlignment="0" applyProtection="0"/>
    <xf numFmtId="185" fontId="36" fillId="0" borderId="0">
      <alignment/>
      <protection/>
    </xf>
    <xf numFmtId="0" fontId="107" fillId="0" borderId="0">
      <alignment/>
      <protection/>
    </xf>
    <xf numFmtId="0" fontId="18" fillId="0" borderId="0">
      <alignment/>
      <protection/>
    </xf>
    <xf numFmtId="0" fontId="50" fillId="0" borderId="0">
      <alignment/>
      <protection/>
    </xf>
    <xf numFmtId="0" fontId="5" fillId="0" borderId="0">
      <alignment/>
      <protection/>
    </xf>
    <xf numFmtId="0" fontId="5" fillId="0" borderId="0">
      <alignment/>
      <protection/>
    </xf>
    <xf numFmtId="0" fontId="5" fillId="0" borderId="0">
      <alignment/>
      <protection/>
    </xf>
    <xf numFmtId="0" fontId="18"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50" fillId="0" borderId="0">
      <alignment/>
      <protection/>
    </xf>
    <xf numFmtId="0" fontId="68" fillId="0" borderId="0">
      <alignment/>
      <protection/>
    </xf>
    <xf numFmtId="0" fontId="14" fillId="0" borderId="0">
      <alignment/>
      <protection/>
    </xf>
    <xf numFmtId="0" fontId="0" fillId="31" borderId="11" applyNumberFormat="0" applyFont="0" applyAlignment="0" applyProtection="0"/>
    <xf numFmtId="0" fontId="108" fillId="26" borderId="12"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3" fontId="37" fillId="0" borderId="10" applyNumberFormat="0" applyAlignment="0">
      <protection/>
    </xf>
    <xf numFmtId="3" fontId="38" fillId="0" borderId="13" applyNumberFormat="0" applyAlignment="0">
      <protection/>
    </xf>
    <xf numFmtId="0" fontId="110" fillId="0" borderId="14" applyNumberFormat="0" applyFill="0" applyAlignment="0" applyProtection="0"/>
    <xf numFmtId="0" fontId="111" fillId="0" borderId="0" applyNumberFormat="0" applyFill="0" applyBorder="0" applyAlignment="0" applyProtection="0"/>
    <xf numFmtId="0" fontId="39"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0" fillId="0" borderId="0">
      <alignment vertical="center"/>
      <protection/>
    </xf>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9" fontId="41" fillId="0" borderId="0" applyFont="0" applyFill="0" applyBorder="0" applyAlignment="0" applyProtection="0"/>
    <xf numFmtId="0" fontId="42" fillId="0" borderId="0">
      <alignment/>
      <protection/>
    </xf>
    <xf numFmtId="186" fontId="18" fillId="0" borderId="0" applyFont="0" applyFill="0" applyBorder="0" applyAlignment="0" applyProtection="0"/>
    <xf numFmtId="187" fontId="18" fillId="0" borderId="0" applyFont="0" applyFill="0" applyBorder="0" applyAlignment="0" applyProtection="0"/>
    <xf numFmtId="188" fontId="41" fillId="0" borderId="0" applyFont="0" applyFill="0" applyBorder="0" applyAlignment="0" applyProtection="0"/>
    <xf numFmtId="189" fontId="41" fillId="0" borderId="0" applyFont="0" applyFill="0" applyBorder="0" applyAlignment="0" applyProtection="0"/>
    <xf numFmtId="0" fontId="44" fillId="0" borderId="0">
      <alignment/>
      <protection/>
    </xf>
    <xf numFmtId="0" fontId="35" fillId="0" borderId="0">
      <alignment/>
      <protection/>
    </xf>
    <xf numFmtId="41" fontId="43" fillId="0" borderId="0" applyFont="0" applyFill="0" applyBorder="0" applyAlignment="0" applyProtection="0"/>
    <xf numFmtId="43" fontId="43" fillId="0" borderId="0" applyFont="0" applyFill="0" applyBorder="0" applyAlignment="0" applyProtection="0"/>
    <xf numFmtId="190" fontId="43" fillId="0" borderId="0" applyFont="0" applyFill="0" applyBorder="0" applyAlignment="0" applyProtection="0"/>
    <xf numFmtId="191" fontId="45" fillId="0" borderId="0" applyFont="0" applyFill="0" applyBorder="0" applyAlignment="0" applyProtection="0"/>
    <xf numFmtId="192" fontId="43" fillId="0" borderId="0" applyFont="0" applyFill="0" applyBorder="0" applyAlignment="0" applyProtection="0"/>
  </cellStyleXfs>
  <cellXfs count="96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0" xfId="0" applyFont="1" applyAlignment="1">
      <alignment/>
    </xf>
    <xf numFmtId="0" fontId="12" fillId="0" borderId="0" xfId="0" applyFont="1" applyAlignment="1">
      <alignment horizontal="right"/>
    </xf>
    <xf numFmtId="0" fontId="0" fillId="0" borderId="0" xfId="0" applyAlignment="1">
      <alignment wrapText="1"/>
    </xf>
    <xf numFmtId="1" fontId="14" fillId="0" borderId="0" xfId="98" applyNumberFormat="1" applyFont="1" applyFill="1" applyAlignment="1">
      <alignment vertical="center"/>
      <protection/>
    </xf>
    <xf numFmtId="1" fontId="14" fillId="0" borderId="0" xfId="98" applyNumberFormat="1" applyFont="1" applyFill="1" applyAlignment="1">
      <alignment horizontal="center" vertical="center"/>
      <protection/>
    </xf>
    <xf numFmtId="1" fontId="14" fillId="0" borderId="0" xfId="98" applyNumberFormat="1" applyFont="1" applyFill="1" applyAlignment="1">
      <alignment vertical="center" wrapText="1"/>
      <protection/>
    </xf>
    <xf numFmtId="1" fontId="14" fillId="0" borderId="0" xfId="98" applyNumberFormat="1" applyFont="1" applyFill="1" applyAlignment="1">
      <alignment horizontal="center" vertical="center" wrapText="1"/>
      <protection/>
    </xf>
    <xf numFmtId="1" fontId="14" fillId="0" borderId="0" xfId="98" applyNumberFormat="1" applyFont="1" applyFill="1" applyAlignment="1">
      <alignment horizontal="right" vertical="center"/>
      <protection/>
    </xf>
    <xf numFmtId="1" fontId="20" fillId="0" borderId="0" xfId="98" applyNumberFormat="1" applyFont="1" applyFill="1" applyAlignment="1">
      <alignment vertical="center"/>
      <protection/>
    </xf>
    <xf numFmtId="3" fontId="14" fillId="0" borderId="15" xfId="98" applyNumberFormat="1" applyFont="1" applyFill="1" applyBorder="1" applyAlignment="1">
      <alignment horizontal="center" vertical="center" wrapText="1"/>
      <protection/>
    </xf>
    <xf numFmtId="3" fontId="14" fillId="0" borderId="0" xfId="98" applyNumberFormat="1" applyFont="1" applyBorder="1" applyAlignment="1">
      <alignment horizontal="center" vertical="center" wrapText="1"/>
      <protection/>
    </xf>
    <xf numFmtId="3" fontId="14" fillId="0" borderId="15" xfId="98" applyNumberFormat="1" applyFont="1" applyBorder="1" applyAlignment="1">
      <alignment horizontal="center" vertical="center" wrapText="1"/>
      <protection/>
    </xf>
    <xf numFmtId="3" fontId="14" fillId="0" borderId="15" xfId="98" applyNumberFormat="1" applyFont="1" applyFill="1" applyBorder="1" applyAlignment="1" quotePrefix="1">
      <alignment horizontal="center" vertical="center" wrapText="1"/>
      <protection/>
    </xf>
    <xf numFmtId="3" fontId="14" fillId="0" borderId="0" xfId="98" applyNumberFormat="1" applyFont="1" applyFill="1" applyBorder="1" applyAlignment="1">
      <alignment vertical="center" wrapText="1"/>
      <protection/>
    </xf>
    <xf numFmtId="1" fontId="14" fillId="0" borderId="16" xfId="98" applyNumberFormat="1" applyFont="1" applyFill="1" applyBorder="1" applyAlignment="1">
      <alignment horizontal="center" vertical="center"/>
      <protection/>
    </xf>
    <xf numFmtId="1" fontId="12" fillId="0" borderId="16" xfId="98" applyNumberFormat="1" applyFont="1" applyFill="1" applyBorder="1" applyAlignment="1">
      <alignment horizontal="center" vertical="center" wrapText="1"/>
      <protection/>
    </xf>
    <xf numFmtId="1" fontId="14" fillId="0" borderId="16" xfId="98" applyNumberFormat="1" applyFont="1" applyFill="1" applyBorder="1" applyAlignment="1">
      <alignment horizontal="center" vertical="center" wrapText="1"/>
      <protection/>
    </xf>
    <xf numFmtId="1" fontId="14" fillId="0" borderId="16" xfId="98" applyNumberFormat="1" applyFont="1" applyFill="1" applyBorder="1" applyAlignment="1">
      <alignment horizontal="right" vertical="center"/>
      <protection/>
    </xf>
    <xf numFmtId="1" fontId="12" fillId="0" borderId="13" xfId="98" applyNumberFormat="1" applyFont="1" applyFill="1" applyBorder="1" applyAlignment="1">
      <alignment horizontal="center" vertical="center"/>
      <protection/>
    </xf>
    <xf numFmtId="1" fontId="12" fillId="0" borderId="13" xfId="98" applyNumberFormat="1" applyFont="1" applyFill="1" applyBorder="1" applyAlignment="1">
      <alignment horizontal="center" vertical="center" wrapText="1"/>
      <protection/>
    </xf>
    <xf numFmtId="1" fontId="12" fillId="0" borderId="13" xfId="98" applyNumberFormat="1" applyFont="1" applyFill="1" applyBorder="1" applyAlignment="1">
      <alignment horizontal="right" vertical="center"/>
      <protection/>
    </xf>
    <xf numFmtId="1" fontId="12" fillId="0" borderId="0" xfId="98" applyNumberFormat="1" applyFont="1" applyFill="1" applyAlignment="1">
      <alignment vertical="center"/>
      <protection/>
    </xf>
    <xf numFmtId="1" fontId="21" fillId="0" borderId="13" xfId="98" applyNumberFormat="1" applyFont="1" applyFill="1" applyBorder="1" applyAlignment="1">
      <alignment horizontal="center" vertical="center"/>
      <protection/>
    </xf>
    <xf numFmtId="1" fontId="21" fillId="0" borderId="13" xfId="98" applyNumberFormat="1" applyFont="1" applyFill="1" applyBorder="1" applyAlignment="1">
      <alignment horizontal="center" vertical="center" wrapText="1"/>
      <protection/>
    </xf>
    <xf numFmtId="1" fontId="21" fillId="0" borderId="13" xfId="98" applyNumberFormat="1" applyFont="1" applyFill="1" applyBorder="1" applyAlignment="1">
      <alignment horizontal="right" vertical="center"/>
      <protection/>
    </xf>
    <xf numFmtId="1" fontId="21" fillId="0" borderId="0" xfId="98" applyNumberFormat="1" applyFont="1" applyFill="1" applyAlignment="1">
      <alignment vertical="center"/>
      <protection/>
    </xf>
    <xf numFmtId="1" fontId="14" fillId="0" borderId="13" xfId="98" applyNumberFormat="1" applyFont="1" applyFill="1" applyBorder="1" applyAlignment="1">
      <alignment horizontal="center" vertical="center"/>
      <protection/>
    </xf>
    <xf numFmtId="1" fontId="14" fillId="0" borderId="13" xfId="98" applyNumberFormat="1" applyFont="1" applyFill="1" applyBorder="1" applyAlignment="1">
      <alignment horizontal="center" vertical="center" wrapText="1"/>
      <protection/>
    </xf>
    <xf numFmtId="1" fontId="14" fillId="0" borderId="13" xfId="98" applyNumberFormat="1" applyFont="1" applyFill="1" applyBorder="1" applyAlignment="1">
      <alignment horizontal="right" vertical="center"/>
      <protection/>
    </xf>
    <xf numFmtId="1" fontId="14" fillId="0" borderId="17" xfId="98" applyNumberFormat="1" applyFont="1" applyFill="1" applyBorder="1" applyAlignment="1">
      <alignment horizontal="center" vertical="center"/>
      <protection/>
    </xf>
    <xf numFmtId="1" fontId="14" fillId="0" borderId="17" xfId="98" applyNumberFormat="1" applyFont="1" applyFill="1" applyBorder="1" applyAlignment="1">
      <alignment vertical="center" wrapText="1"/>
      <protection/>
    </xf>
    <xf numFmtId="1" fontId="14" fillId="0" borderId="17" xfId="98" applyNumberFormat="1" applyFont="1" applyFill="1" applyBorder="1" applyAlignment="1">
      <alignment horizontal="center" vertical="center" wrapText="1"/>
      <protection/>
    </xf>
    <xf numFmtId="1" fontId="14" fillId="0" borderId="17" xfId="98" applyNumberFormat="1" applyFont="1" applyFill="1" applyBorder="1" applyAlignment="1">
      <alignment horizontal="right" vertical="center"/>
      <protection/>
    </xf>
    <xf numFmtId="1" fontId="14" fillId="0" borderId="0" xfId="98" applyNumberFormat="1" applyFont="1" applyFill="1" applyBorder="1" applyAlignment="1">
      <alignment horizontal="center" vertical="center"/>
      <protection/>
    </xf>
    <xf numFmtId="1" fontId="14" fillId="0" borderId="0" xfId="98" applyNumberFormat="1" applyFont="1" applyFill="1" applyBorder="1" applyAlignment="1">
      <alignment vertical="center" wrapText="1"/>
      <protection/>
    </xf>
    <xf numFmtId="1" fontId="14" fillId="0" borderId="0" xfId="98" applyNumberFormat="1" applyFont="1" applyFill="1" applyBorder="1" applyAlignment="1">
      <alignment horizontal="center" vertical="center" wrapText="1"/>
      <protection/>
    </xf>
    <xf numFmtId="1" fontId="14" fillId="0" borderId="0" xfId="98" applyNumberFormat="1" applyFont="1" applyFill="1" applyBorder="1" applyAlignment="1">
      <alignment horizontal="right" vertical="center"/>
      <protection/>
    </xf>
    <xf numFmtId="1" fontId="22" fillId="0" borderId="0" xfId="98" applyNumberFormat="1" applyFont="1" applyFill="1" applyAlignment="1">
      <alignment vertical="center" wrapText="1"/>
      <protection/>
    </xf>
    <xf numFmtId="1" fontId="23" fillId="0" borderId="0" xfId="98" applyNumberFormat="1" applyFont="1" applyFill="1" applyAlignment="1">
      <alignment vertical="center"/>
      <protection/>
    </xf>
    <xf numFmtId="1" fontId="16" fillId="0" borderId="0" xfId="98" applyNumberFormat="1" applyFont="1" applyFill="1" applyAlignment="1">
      <alignment vertical="center"/>
      <protection/>
    </xf>
    <xf numFmtId="1" fontId="24" fillId="0" borderId="0" xfId="98" applyNumberFormat="1" applyFont="1" applyFill="1" applyAlignment="1">
      <alignment vertical="center"/>
      <protection/>
    </xf>
    <xf numFmtId="1" fontId="12" fillId="0" borderId="18" xfId="98" applyNumberFormat="1" applyFont="1" applyFill="1" applyBorder="1" applyAlignment="1">
      <alignment vertical="center" wrapText="1"/>
      <protection/>
    </xf>
    <xf numFmtId="1" fontId="14" fillId="0" borderId="13" xfId="98" applyNumberFormat="1" applyFont="1" applyFill="1" applyBorder="1" applyAlignment="1">
      <alignment vertical="center" wrapText="1"/>
      <protection/>
    </xf>
    <xf numFmtId="1" fontId="14" fillId="0" borderId="13" xfId="98" applyNumberFormat="1" applyFont="1" applyFill="1" applyBorder="1" applyAlignment="1" quotePrefix="1">
      <alignment vertical="center" wrapText="1"/>
      <protection/>
    </xf>
    <xf numFmtId="1" fontId="21" fillId="0" borderId="18" xfId="98" applyNumberFormat="1" applyFont="1" applyFill="1" applyBorder="1" applyAlignment="1">
      <alignment vertical="center" wrapText="1"/>
      <protection/>
    </xf>
    <xf numFmtId="1" fontId="23" fillId="0" borderId="0" xfId="98" applyNumberFormat="1" applyFont="1" applyFill="1" applyAlignment="1">
      <alignment horizontal="center" vertical="center"/>
      <protection/>
    </xf>
    <xf numFmtId="1" fontId="14" fillId="0" borderId="0" xfId="98" applyNumberFormat="1" applyFont="1" applyFill="1" applyAlignment="1">
      <alignment horizontal="left" vertical="center" wrapText="1"/>
      <protection/>
    </xf>
    <xf numFmtId="1" fontId="15" fillId="0" borderId="0" xfId="98" applyNumberFormat="1" applyFont="1" applyFill="1" applyAlignment="1">
      <alignment vertical="center"/>
      <protection/>
    </xf>
    <xf numFmtId="1" fontId="0" fillId="0" borderId="0" xfId="98" applyNumberFormat="1" applyFont="1" applyFill="1" applyAlignment="1">
      <alignment vertical="center"/>
      <protection/>
    </xf>
    <xf numFmtId="1" fontId="27" fillId="0" borderId="0" xfId="98" applyNumberFormat="1" applyFont="1" applyFill="1" applyAlignment="1">
      <alignment vertical="center"/>
      <protection/>
    </xf>
    <xf numFmtId="3" fontId="1" fillId="0" borderId="0" xfId="98" applyNumberFormat="1" applyFont="1" applyBorder="1" applyAlignment="1">
      <alignment vertical="center" wrapText="1"/>
      <protection/>
    </xf>
    <xf numFmtId="3" fontId="1" fillId="0" borderId="0" xfId="98" applyNumberFormat="1" applyFont="1" applyFill="1" applyBorder="1" applyAlignment="1">
      <alignment vertical="center" wrapText="1"/>
      <protection/>
    </xf>
    <xf numFmtId="1" fontId="0" fillId="0" borderId="16" xfId="98" applyNumberFormat="1" applyFont="1" applyFill="1" applyBorder="1" applyAlignment="1">
      <alignment horizontal="center" vertical="center"/>
      <protection/>
    </xf>
    <xf numFmtId="1" fontId="0" fillId="0" borderId="16" xfId="98" applyNumberFormat="1" applyFont="1" applyFill="1" applyBorder="1" applyAlignment="1">
      <alignment horizontal="center" vertical="center" wrapText="1"/>
      <protection/>
    </xf>
    <xf numFmtId="1" fontId="0" fillId="0" borderId="16" xfId="98" applyNumberFormat="1" applyFont="1" applyFill="1" applyBorder="1" applyAlignment="1">
      <alignment horizontal="right" vertical="center"/>
      <protection/>
    </xf>
    <xf numFmtId="1" fontId="2" fillId="0" borderId="13" xfId="98" applyNumberFormat="1" applyFont="1" applyFill="1" applyBorder="1" applyAlignment="1">
      <alignment horizontal="center" vertical="center"/>
      <protection/>
    </xf>
    <xf numFmtId="1" fontId="2" fillId="0" borderId="18" xfId="98" applyNumberFormat="1" applyFont="1" applyFill="1" applyBorder="1" applyAlignment="1">
      <alignment vertical="center" wrapText="1"/>
      <protection/>
    </xf>
    <xf numFmtId="1" fontId="2" fillId="0" borderId="13" xfId="98" applyNumberFormat="1" applyFont="1" applyFill="1" applyBorder="1" applyAlignment="1">
      <alignment horizontal="center" vertical="center" wrapText="1"/>
      <protection/>
    </xf>
    <xf numFmtId="1" fontId="2" fillId="0" borderId="13" xfId="98" applyNumberFormat="1" applyFont="1" applyFill="1" applyBorder="1" applyAlignment="1">
      <alignment horizontal="right" vertical="center"/>
      <protection/>
    </xf>
    <xf numFmtId="1" fontId="13" fillId="0" borderId="0" xfId="98" applyNumberFormat="1" applyFont="1" applyFill="1" applyAlignment="1">
      <alignment vertical="center"/>
      <protection/>
    </xf>
    <xf numFmtId="1" fontId="0" fillId="0" borderId="13" xfId="98" applyNumberFormat="1" applyFont="1" applyFill="1" applyBorder="1" applyAlignment="1">
      <alignment horizontal="center" vertical="center"/>
      <protection/>
    </xf>
    <xf numFmtId="1" fontId="0" fillId="0" borderId="13" xfId="98" applyNumberFormat="1" applyFont="1" applyFill="1" applyBorder="1" applyAlignment="1">
      <alignment vertical="center" wrapText="1"/>
      <protection/>
    </xf>
    <xf numFmtId="1" fontId="0" fillId="0" borderId="13" xfId="98" applyNumberFormat="1" applyFont="1" applyFill="1" applyBorder="1" applyAlignment="1">
      <alignment horizontal="center" vertical="center" wrapText="1"/>
      <protection/>
    </xf>
    <xf numFmtId="1" fontId="0" fillId="0" borderId="13" xfId="98" applyNumberFormat="1" applyFont="1" applyFill="1" applyBorder="1" applyAlignment="1">
      <alignment horizontal="right" vertical="center"/>
      <protection/>
    </xf>
    <xf numFmtId="1" fontId="0" fillId="0" borderId="13" xfId="98" applyNumberFormat="1" applyFont="1" applyFill="1" applyBorder="1" applyAlignment="1" quotePrefix="1">
      <alignment vertical="center" wrapText="1"/>
      <protection/>
    </xf>
    <xf numFmtId="1" fontId="2" fillId="0" borderId="13" xfId="98" applyNumberFormat="1" applyFont="1" applyFill="1" applyBorder="1" applyAlignment="1">
      <alignment vertical="center" wrapText="1"/>
      <protection/>
    </xf>
    <xf numFmtId="1" fontId="0" fillId="0" borderId="17" xfId="98" applyNumberFormat="1" applyFont="1" applyFill="1" applyBorder="1" applyAlignment="1">
      <alignment horizontal="center" vertical="center"/>
      <protection/>
    </xf>
    <xf numFmtId="1" fontId="0" fillId="0" borderId="17" xfId="98" applyNumberFormat="1" applyFont="1" applyFill="1" applyBorder="1" applyAlignment="1">
      <alignment vertical="center" wrapText="1"/>
      <protection/>
    </xf>
    <xf numFmtId="1" fontId="0" fillId="0" borderId="17" xfId="98" applyNumberFormat="1" applyFont="1" applyFill="1" applyBorder="1" applyAlignment="1">
      <alignment horizontal="center" vertical="center" wrapText="1"/>
      <protection/>
    </xf>
    <xf numFmtId="1" fontId="0" fillId="0" borderId="17" xfId="98" applyNumberFormat="1" applyFont="1" applyFill="1" applyBorder="1" applyAlignment="1">
      <alignment horizontal="right" vertical="center"/>
      <protection/>
    </xf>
    <xf numFmtId="1" fontId="15" fillId="0" borderId="17" xfId="98" applyNumberFormat="1" applyFont="1" applyFill="1" applyBorder="1" applyAlignment="1">
      <alignment horizontal="right" vertical="center"/>
      <protection/>
    </xf>
    <xf numFmtId="1" fontId="0" fillId="0" borderId="0" xfId="98" applyNumberFormat="1" applyFont="1" applyFill="1" applyBorder="1" applyAlignment="1">
      <alignment horizontal="center" vertical="center"/>
      <protection/>
    </xf>
    <xf numFmtId="1" fontId="0" fillId="0" borderId="0" xfId="98" applyNumberFormat="1" applyFont="1" applyFill="1" applyBorder="1" applyAlignment="1">
      <alignment vertical="center" wrapText="1"/>
      <protection/>
    </xf>
    <xf numFmtId="1" fontId="0" fillId="0" borderId="0" xfId="98" applyNumberFormat="1" applyFont="1" applyFill="1" applyBorder="1" applyAlignment="1">
      <alignment horizontal="center" vertical="center" wrapText="1"/>
      <protection/>
    </xf>
    <xf numFmtId="1" fontId="0" fillId="0" borderId="0" xfId="98" applyNumberFormat="1" applyFont="1" applyFill="1" applyBorder="1" applyAlignment="1">
      <alignment horizontal="right" vertical="center"/>
      <protection/>
    </xf>
    <xf numFmtId="1" fontId="15" fillId="0" borderId="0" xfId="98" applyNumberFormat="1" applyFont="1" applyFill="1" applyBorder="1" applyAlignment="1">
      <alignment horizontal="right" vertical="center"/>
      <protection/>
    </xf>
    <xf numFmtId="1" fontId="0" fillId="0" borderId="0" xfId="98" applyNumberFormat="1" applyFont="1" applyFill="1" applyAlignment="1">
      <alignment horizontal="center" vertical="center"/>
      <protection/>
    </xf>
    <xf numFmtId="1" fontId="2" fillId="0" borderId="0" xfId="98" applyNumberFormat="1" applyFont="1" applyFill="1" applyAlignment="1">
      <alignment vertical="center" wrapText="1"/>
      <protection/>
    </xf>
    <xf numFmtId="1" fontId="0" fillId="0" borderId="0" xfId="98" applyNumberFormat="1" applyFont="1" applyFill="1" applyAlignment="1">
      <alignment horizontal="right" vertical="center"/>
      <protection/>
    </xf>
    <xf numFmtId="1" fontId="15" fillId="0" borderId="0" xfId="98" applyNumberFormat="1" applyFont="1" applyFill="1" applyAlignment="1">
      <alignment horizontal="right" vertical="center"/>
      <protection/>
    </xf>
    <xf numFmtId="1" fontId="0" fillId="0" borderId="0" xfId="98" applyNumberFormat="1" applyFont="1" applyFill="1" applyAlignment="1">
      <alignment horizontal="center" vertical="center" wrapText="1"/>
      <protection/>
    </xf>
    <xf numFmtId="1" fontId="0" fillId="0" borderId="0" xfId="98" applyNumberFormat="1" applyFont="1" applyFill="1" applyAlignment="1" quotePrefix="1">
      <alignment vertical="center" wrapText="1"/>
      <protection/>
    </xf>
    <xf numFmtId="1" fontId="0" fillId="0" borderId="0" xfId="98" applyNumberFormat="1" applyFont="1" applyFill="1" applyAlignment="1">
      <alignment vertical="center" wrapText="1"/>
      <protection/>
    </xf>
    <xf numFmtId="1" fontId="15" fillId="0" borderId="0" xfId="98" applyNumberFormat="1" applyFont="1" applyFill="1" applyAlignment="1">
      <alignment horizontal="center" vertical="center"/>
      <protection/>
    </xf>
    <xf numFmtId="1" fontId="15" fillId="0" borderId="0" xfId="98" applyNumberFormat="1" applyFont="1" applyFill="1" applyAlignment="1">
      <alignment vertical="center" wrapText="1"/>
      <protection/>
    </xf>
    <xf numFmtId="1" fontId="15" fillId="0" borderId="0" xfId="98" applyNumberFormat="1" applyFont="1" applyFill="1" applyAlignment="1">
      <alignment horizontal="center" vertical="center" wrapText="1"/>
      <protection/>
    </xf>
    <xf numFmtId="1" fontId="9" fillId="0" borderId="0" xfId="98" applyNumberFormat="1" applyFont="1" applyFill="1" applyAlignment="1">
      <alignment horizontal="right" vertical="center"/>
      <protection/>
    </xf>
    <xf numFmtId="0" fontId="0" fillId="0" borderId="15" xfId="0" applyFont="1" applyBorder="1" applyAlignment="1">
      <alignment horizontal="center" vertical="center" wrapText="1"/>
    </xf>
    <xf numFmtId="1" fontId="19" fillId="0" borderId="0" xfId="98" applyNumberFormat="1" applyFont="1" applyFill="1" applyAlignment="1">
      <alignment vertical="center"/>
      <protection/>
    </xf>
    <xf numFmtId="0" fontId="0" fillId="0" borderId="0" xfId="0" applyAlignment="1">
      <alignment/>
    </xf>
    <xf numFmtId="1" fontId="2" fillId="0" borderId="0" xfId="98" applyNumberFormat="1" applyFont="1" applyFill="1" applyAlignment="1">
      <alignment vertical="center"/>
      <protection/>
    </xf>
    <xf numFmtId="0" fontId="0" fillId="0" borderId="0" xfId="0" applyFont="1" applyAlignment="1">
      <alignment/>
    </xf>
    <xf numFmtId="1" fontId="3" fillId="0" borderId="0" xfId="98" applyNumberFormat="1" applyFont="1" applyFill="1" applyAlignment="1">
      <alignment horizontal="center" vertical="center" wrapText="1"/>
      <protection/>
    </xf>
    <xf numFmtId="3" fontId="0" fillId="0" borderId="15" xfId="98" applyNumberFormat="1" applyFont="1" applyFill="1" applyBorder="1" applyAlignment="1" quotePrefix="1">
      <alignment horizontal="center" vertical="center" wrapText="1"/>
      <protection/>
    </xf>
    <xf numFmtId="1" fontId="2" fillId="0" borderId="16" xfId="98"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0"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quotePrefix="1">
      <alignment vertical="center" wrapText="1"/>
    </xf>
    <xf numFmtId="0" fontId="0"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vertical="center" wrapText="1"/>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5"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0" fontId="0" fillId="0" borderId="0" xfId="0" applyFont="1" applyAlignment="1">
      <alignment horizontal="right"/>
    </xf>
    <xf numFmtId="0" fontId="4" fillId="0" borderId="15" xfId="0" applyFont="1" applyBorder="1" applyAlignment="1" quotePrefix="1">
      <alignment vertical="center"/>
    </xf>
    <xf numFmtId="0" fontId="3" fillId="0" borderId="15" xfId="0" applyFont="1" applyBorder="1" applyAlignment="1" quotePrefix="1">
      <alignment vertical="center"/>
    </xf>
    <xf numFmtId="0" fontId="0" fillId="0" borderId="15" xfId="0" applyFont="1" applyBorder="1" applyAlignment="1" quotePrefix="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vertical="center" wrapText="1"/>
    </xf>
    <xf numFmtId="0" fontId="0" fillId="0" borderId="20" xfId="0" applyFont="1" applyBorder="1" applyAlignment="1" quotePrefix="1">
      <alignment vertical="center" wrapText="1"/>
    </xf>
    <xf numFmtId="0" fontId="3" fillId="0" borderId="15" xfId="0" applyFont="1" applyBorder="1" applyAlignment="1" quotePrefix="1">
      <alignment horizontal="left" vertical="center" wrapText="1" indent="1"/>
    </xf>
    <xf numFmtId="0" fontId="3" fillId="0" borderId="15" xfId="0" applyFont="1" applyBorder="1" applyAlignment="1">
      <alignment horizontal="left" vertical="center" wrapText="1" indent="1"/>
    </xf>
    <xf numFmtId="0" fontId="21" fillId="0" borderId="0" xfId="0" applyFont="1" applyAlignment="1">
      <alignment horizontal="right" vertical="center"/>
    </xf>
    <xf numFmtId="0" fontId="12" fillId="0" borderId="0" xfId="0" applyFont="1" applyAlignment="1">
      <alignment vertical="center"/>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xf>
    <xf numFmtId="193" fontId="0" fillId="0" borderId="15" xfId="0" applyNumberFormat="1" applyFont="1" applyFill="1" applyBorder="1" applyAlignment="1">
      <alignment vertical="center"/>
    </xf>
    <xf numFmtId="3" fontId="0" fillId="0" borderId="15" xfId="0" applyNumberFormat="1" applyFont="1" applyFill="1" applyBorder="1" applyAlignment="1">
      <alignment vertical="center"/>
    </xf>
    <xf numFmtId="3" fontId="2" fillId="0" borderId="15" xfId="0" applyNumberFormat="1" applyFont="1" applyFill="1" applyBorder="1" applyAlignment="1">
      <alignment vertical="center"/>
    </xf>
    <xf numFmtId="183" fontId="2" fillId="0" borderId="15" xfId="49" applyNumberFormat="1" applyFont="1" applyFill="1" applyBorder="1" applyAlignment="1">
      <alignment vertical="center"/>
    </xf>
    <xf numFmtId="183" fontId="0" fillId="0" borderId="15" xfId="49"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right" vertical="center"/>
    </xf>
    <xf numFmtId="0" fontId="0" fillId="0" borderId="15" xfId="0" applyFont="1" applyFill="1" applyBorder="1" applyAlignment="1">
      <alignment vertical="center" wrapText="1"/>
    </xf>
    <xf numFmtId="0" fontId="0" fillId="0" borderId="0" xfId="0" applyFont="1" applyAlignment="1">
      <alignment vertical="center" wrapText="1"/>
    </xf>
    <xf numFmtId="0" fontId="0" fillId="0" borderId="15" xfId="0" applyFont="1" applyFill="1" applyBorder="1" applyAlignment="1">
      <alignment horizontal="center" vertical="center" wrapText="1"/>
    </xf>
    <xf numFmtId="0" fontId="2" fillId="0" borderId="0" xfId="0" applyFont="1" applyAlignment="1">
      <alignment vertical="center"/>
    </xf>
    <xf numFmtId="183" fontId="0" fillId="0" borderId="0" xfId="0" applyNumberFormat="1" applyFont="1" applyAlignment="1">
      <alignment vertical="center"/>
    </xf>
    <xf numFmtId="0" fontId="0" fillId="0" borderId="0" xfId="0" applyFont="1" applyAlignment="1">
      <alignment horizontal="center" vertical="center"/>
    </xf>
    <xf numFmtId="49" fontId="0" fillId="0" borderId="0" xfId="0" applyNumberFormat="1" applyFont="1" applyAlignment="1">
      <alignment vertical="center"/>
    </xf>
    <xf numFmtId="0" fontId="47" fillId="0" borderId="0" xfId="0" applyFont="1" applyFill="1" applyAlignment="1">
      <alignment vertical="center"/>
    </xf>
    <xf numFmtId="0" fontId="47" fillId="0" borderId="0" xfId="0" applyFont="1" applyFill="1" applyAlignment="1">
      <alignment/>
    </xf>
    <xf numFmtId="0" fontId="48" fillId="0" borderId="0" xfId="0" applyFont="1" applyFill="1" applyAlignment="1">
      <alignment vertical="center"/>
    </xf>
    <xf numFmtId="0" fontId="6" fillId="0" borderId="0" xfId="0" applyFont="1" applyFill="1" applyAlignment="1">
      <alignment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7" xfId="0" applyFont="1" applyFill="1" applyBorder="1" applyAlignment="1">
      <alignment horizontal="left"/>
    </xf>
    <xf numFmtId="0" fontId="6" fillId="0" borderId="27" xfId="0" applyFont="1" applyFill="1" applyBorder="1" applyAlignment="1">
      <alignment horizontal="center"/>
    </xf>
    <xf numFmtId="10" fontId="6" fillId="0" borderId="27" xfId="106" applyNumberFormat="1" applyFont="1" applyFill="1" applyBorder="1" applyAlignment="1">
      <alignment horizontal="center"/>
    </xf>
    <xf numFmtId="0" fontId="47" fillId="0" borderId="27" xfId="0" applyFont="1" applyFill="1" applyBorder="1" applyAlignment="1">
      <alignment vertical="center"/>
    </xf>
    <xf numFmtId="0" fontId="47" fillId="0" borderId="28" xfId="0" applyFont="1" applyFill="1" applyBorder="1" applyAlignment="1">
      <alignment vertical="center"/>
    </xf>
    <xf numFmtId="0" fontId="47" fillId="0" borderId="29" xfId="0" applyFont="1" applyFill="1" applyBorder="1" applyAlignment="1">
      <alignment horizontal="center" vertical="center"/>
    </xf>
    <xf numFmtId="49" fontId="47" fillId="0" borderId="13" xfId="0" applyNumberFormat="1" applyFont="1" applyFill="1" applyBorder="1" applyAlignment="1">
      <alignment horizontal="justify" vertical="center"/>
    </xf>
    <xf numFmtId="0" fontId="47" fillId="0" borderId="13" xfId="0" applyFont="1" applyFill="1" applyBorder="1" applyAlignment="1">
      <alignment horizontal="center"/>
    </xf>
    <xf numFmtId="10" fontId="47" fillId="0" borderId="13" xfId="0" applyNumberFormat="1" applyFont="1" applyFill="1" applyBorder="1" applyAlignment="1">
      <alignment horizontal="center"/>
    </xf>
    <xf numFmtId="193" fontId="47" fillId="0" borderId="13" xfId="0" applyNumberFormat="1" applyFont="1" applyFill="1" applyBorder="1" applyAlignment="1">
      <alignment horizontal="right"/>
    </xf>
    <xf numFmtId="3" fontId="47" fillId="0" borderId="13" xfId="0" applyNumberFormat="1" applyFont="1" applyFill="1" applyBorder="1" applyAlignment="1">
      <alignment horizontal="right"/>
    </xf>
    <xf numFmtId="181" fontId="47" fillId="0" borderId="13" xfId="0" applyNumberFormat="1" applyFont="1" applyFill="1" applyBorder="1" applyAlignment="1">
      <alignment horizontal="center"/>
    </xf>
    <xf numFmtId="49" fontId="47" fillId="0" borderId="13"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3" fontId="47" fillId="0" borderId="13" xfId="49" applyNumberFormat="1" applyFont="1" applyFill="1" applyBorder="1" applyAlignment="1">
      <alignment/>
    </xf>
    <xf numFmtId="3" fontId="47" fillId="0" borderId="13" xfId="0" applyNumberFormat="1" applyFont="1" applyFill="1" applyBorder="1" applyAlignment="1">
      <alignment/>
    </xf>
    <xf numFmtId="0" fontId="47" fillId="0" borderId="30" xfId="0" applyFont="1" applyFill="1" applyBorder="1" applyAlignment="1">
      <alignment horizontal="center"/>
    </xf>
    <xf numFmtId="49" fontId="47" fillId="0" borderId="13" xfId="0" applyNumberFormat="1" applyFont="1" applyFill="1" applyBorder="1" applyAlignment="1">
      <alignment horizontal="justify" vertical="center" wrapText="1"/>
    </xf>
    <xf numFmtId="199" fontId="47" fillId="0" borderId="13" xfId="0" applyNumberFormat="1" applyFont="1" applyFill="1" applyBorder="1" applyAlignment="1">
      <alignment horizontal="right"/>
    </xf>
    <xf numFmtId="198" fontId="47" fillId="0" borderId="13" xfId="0" applyNumberFormat="1" applyFont="1" applyFill="1" applyBorder="1" applyAlignment="1">
      <alignment horizontal="center"/>
    </xf>
    <xf numFmtId="202" fontId="47" fillId="0" borderId="13" xfId="0" applyNumberFormat="1" applyFont="1" applyFill="1" applyBorder="1" applyAlignment="1">
      <alignment horizontal="right"/>
    </xf>
    <xf numFmtId="0" fontId="47" fillId="0" borderId="13" xfId="0" applyFont="1" applyFill="1" applyBorder="1" applyAlignment="1">
      <alignment/>
    </xf>
    <xf numFmtId="0" fontId="47" fillId="0" borderId="30" xfId="0" applyFont="1" applyFill="1" applyBorder="1" applyAlignment="1">
      <alignment/>
    </xf>
    <xf numFmtId="3" fontId="47" fillId="0" borderId="13" xfId="0" applyNumberFormat="1" applyFont="1" applyFill="1" applyBorder="1" applyAlignment="1">
      <alignment horizontal="center"/>
    </xf>
    <xf numFmtId="4" fontId="47" fillId="0" borderId="13" xfId="0" applyNumberFormat="1" applyFont="1" applyFill="1" applyBorder="1" applyAlignment="1">
      <alignment horizontal="right"/>
    </xf>
    <xf numFmtId="196" fontId="47" fillId="0" borderId="13" xfId="106" applyNumberFormat="1" applyFont="1" applyFill="1" applyBorder="1" applyAlignment="1">
      <alignment horizontal="center"/>
    </xf>
    <xf numFmtId="199" fontId="47" fillId="0" borderId="13" xfId="0" applyNumberFormat="1" applyFont="1" applyFill="1" applyBorder="1" applyAlignment="1">
      <alignment horizontal="center"/>
    </xf>
    <xf numFmtId="49" fontId="48" fillId="0" borderId="13" xfId="0" applyNumberFormat="1" applyFont="1" applyFill="1" applyBorder="1" applyAlignment="1">
      <alignment horizontal="justify" vertical="center"/>
    </xf>
    <xf numFmtId="0" fontId="48" fillId="0" borderId="13" xfId="0" applyFont="1" applyFill="1" applyBorder="1" applyAlignment="1">
      <alignment horizontal="center"/>
    </xf>
    <xf numFmtId="3" fontId="48" fillId="0" borderId="13" xfId="0" applyNumberFormat="1" applyFont="1" applyFill="1" applyBorder="1" applyAlignment="1">
      <alignment horizontal="center"/>
    </xf>
    <xf numFmtId="0" fontId="48" fillId="0" borderId="13" xfId="0" applyFont="1" applyFill="1" applyBorder="1" applyAlignment="1">
      <alignment/>
    </xf>
    <xf numFmtId="3" fontId="48" fillId="0" borderId="13" xfId="0" applyNumberFormat="1" applyFont="1" applyFill="1" applyBorder="1" applyAlignment="1">
      <alignment horizontal="right"/>
    </xf>
    <xf numFmtId="193" fontId="48" fillId="0" borderId="13" xfId="0" applyNumberFormat="1" applyFont="1" applyFill="1" applyBorder="1" applyAlignment="1">
      <alignment horizontal="right"/>
    </xf>
    <xf numFmtId="0" fontId="48" fillId="0" borderId="13" xfId="0" applyFont="1" applyFill="1" applyBorder="1" applyAlignment="1">
      <alignment vertical="center"/>
    </xf>
    <xf numFmtId="0" fontId="48" fillId="0" borderId="30" xfId="0" applyFont="1" applyFill="1" applyBorder="1" applyAlignment="1">
      <alignment vertical="center"/>
    </xf>
    <xf numFmtId="0" fontId="47" fillId="0" borderId="13" xfId="0" applyFont="1" applyFill="1" applyBorder="1" applyAlignment="1">
      <alignment vertical="center"/>
    </xf>
    <xf numFmtId="193" fontId="47" fillId="0" borderId="13" xfId="0" applyNumberFormat="1" applyFont="1" applyFill="1" applyBorder="1" applyAlignment="1">
      <alignment horizontal="center"/>
    </xf>
    <xf numFmtId="181" fontId="47" fillId="0" borderId="13" xfId="0" applyNumberFormat="1" applyFont="1" applyFill="1" applyBorder="1" applyAlignment="1">
      <alignment/>
    </xf>
    <xf numFmtId="0" fontId="47" fillId="0" borderId="30" xfId="0" applyFont="1" applyFill="1" applyBorder="1" applyAlignment="1">
      <alignment vertical="center"/>
    </xf>
    <xf numFmtId="181" fontId="48" fillId="0" borderId="13" xfId="0" applyNumberFormat="1" applyFont="1" applyFill="1" applyBorder="1" applyAlignment="1">
      <alignment horizontal="center"/>
    </xf>
    <xf numFmtId="193" fontId="48" fillId="0" borderId="13" xfId="0" applyNumberFormat="1" applyFont="1" applyFill="1" applyBorder="1" applyAlignment="1">
      <alignment horizontal="center"/>
    </xf>
    <xf numFmtId="49" fontId="48" fillId="0" borderId="13" xfId="0" applyNumberFormat="1" applyFont="1" applyFill="1" applyBorder="1" applyAlignment="1">
      <alignment horizontal="center" vertical="center"/>
    </xf>
    <xf numFmtId="3" fontId="47" fillId="0" borderId="13" xfId="49" applyNumberFormat="1" applyFont="1" applyFill="1" applyBorder="1" applyAlignment="1">
      <alignment horizontal="center"/>
    </xf>
    <xf numFmtId="9" fontId="47" fillId="0" borderId="13" xfId="0" applyNumberFormat="1" applyFont="1" applyFill="1" applyBorder="1" applyAlignment="1">
      <alignment horizontal="center"/>
    </xf>
    <xf numFmtId="4" fontId="47" fillId="0" borderId="13" xfId="0" applyNumberFormat="1" applyFont="1" applyFill="1" applyBorder="1" applyAlignment="1">
      <alignment horizontal="center"/>
    </xf>
    <xf numFmtId="193" fontId="47" fillId="0" borderId="13" xfId="0" applyNumberFormat="1" applyFont="1" applyFill="1" applyBorder="1" applyAlignment="1">
      <alignment/>
    </xf>
    <xf numFmtId="0" fontId="6" fillId="0" borderId="29" xfId="0" applyFont="1" applyFill="1" applyBorder="1" applyAlignment="1">
      <alignment horizontal="center" vertical="center"/>
    </xf>
    <xf numFmtId="49" fontId="6" fillId="0" borderId="13" xfId="0" applyNumberFormat="1" applyFont="1" applyFill="1" applyBorder="1" applyAlignment="1">
      <alignment horizontal="justify" vertical="center"/>
    </xf>
    <xf numFmtId="0" fontId="6" fillId="0" borderId="13" xfId="0" applyFont="1" applyFill="1" applyBorder="1" applyAlignment="1">
      <alignment horizontal="center"/>
    </xf>
    <xf numFmtId="10" fontId="6" fillId="0" borderId="13" xfId="0" applyNumberFormat="1" applyFont="1" applyFill="1" applyBorder="1" applyAlignment="1">
      <alignment horizontal="center"/>
    </xf>
    <xf numFmtId="193" fontId="6" fillId="0" borderId="13" xfId="0" applyNumberFormat="1"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vertical="center"/>
    </xf>
    <xf numFmtId="0" fontId="6" fillId="0" borderId="30" xfId="0" applyFont="1" applyFill="1" applyBorder="1" applyAlignment="1">
      <alignment horizontal="center" vertical="center"/>
    </xf>
    <xf numFmtId="0" fontId="47" fillId="0" borderId="13" xfId="0" applyFont="1" applyFill="1" applyBorder="1" applyAlignment="1">
      <alignment horizontal="left"/>
    </xf>
    <xf numFmtId="3" fontId="0" fillId="0" borderId="13" xfId="0" applyNumberFormat="1" applyFont="1" applyFill="1" applyBorder="1" applyAlignment="1">
      <alignment vertical="center"/>
    </xf>
    <xf numFmtId="193" fontId="47" fillId="0" borderId="13" xfId="106" applyNumberFormat="1" applyFont="1" applyFill="1" applyBorder="1" applyAlignment="1">
      <alignment horizontal="center"/>
    </xf>
    <xf numFmtId="4" fontId="47" fillId="0" borderId="13" xfId="106" applyNumberFormat="1" applyFont="1" applyFill="1" applyBorder="1" applyAlignment="1">
      <alignment horizontal="center"/>
    </xf>
    <xf numFmtId="196" fontId="47" fillId="0" borderId="13" xfId="0" applyNumberFormat="1" applyFont="1" applyFill="1" applyBorder="1" applyAlignment="1">
      <alignment horizontal="center"/>
    </xf>
    <xf numFmtId="196" fontId="47" fillId="0" borderId="13" xfId="0" applyNumberFormat="1" applyFont="1" applyFill="1" applyBorder="1" applyAlignment="1">
      <alignment horizontal="left"/>
    </xf>
    <xf numFmtId="49" fontId="47" fillId="0"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xf>
    <xf numFmtId="49" fontId="6" fillId="0" borderId="13" xfId="0" applyNumberFormat="1" applyFont="1" applyFill="1" applyBorder="1" applyAlignment="1">
      <alignment horizontal="center" vertical="center" wrapText="1"/>
    </xf>
    <xf numFmtId="0" fontId="6" fillId="0" borderId="30" xfId="0" applyFont="1" applyFill="1" applyBorder="1" applyAlignment="1">
      <alignment vertical="center"/>
    </xf>
    <xf numFmtId="49" fontId="47" fillId="0" borderId="13" xfId="0" applyNumberFormat="1" applyFont="1" applyFill="1" applyBorder="1" applyAlignment="1">
      <alignment horizontal="center" wrapText="1"/>
    </xf>
    <xf numFmtId="49" fontId="47" fillId="0" borderId="31" xfId="0" applyNumberFormat="1" applyFont="1" applyFill="1" applyBorder="1" applyAlignment="1">
      <alignment horizontal="justify" vertical="center"/>
    </xf>
    <xf numFmtId="0" fontId="47" fillId="0" borderId="31" xfId="0" applyFont="1" applyFill="1" applyBorder="1" applyAlignment="1">
      <alignment horizontal="center"/>
    </xf>
    <xf numFmtId="9" fontId="47" fillId="0" borderId="31" xfId="0" applyNumberFormat="1" applyFont="1" applyFill="1" applyBorder="1" applyAlignment="1">
      <alignment horizontal="center"/>
    </xf>
    <xf numFmtId="193" fontId="47" fillId="0" borderId="31" xfId="106" applyNumberFormat="1" applyFont="1" applyFill="1" applyBorder="1" applyAlignment="1">
      <alignment horizontal="center"/>
    </xf>
    <xf numFmtId="0" fontId="47" fillId="0" borderId="31" xfId="0" applyFont="1" applyFill="1" applyBorder="1" applyAlignment="1">
      <alignment/>
    </xf>
    <xf numFmtId="49" fontId="47" fillId="0" borderId="31" xfId="0" applyNumberFormat="1" applyFont="1" applyFill="1" applyBorder="1" applyAlignment="1">
      <alignment horizontal="center" vertical="center" wrapText="1"/>
    </xf>
    <xf numFmtId="0" fontId="47" fillId="0" borderId="31" xfId="0" applyFont="1" applyFill="1" applyBorder="1" applyAlignment="1">
      <alignment vertical="center"/>
    </xf>
    <xf numFmtId="0" fontId="47" fillId="0" borderId="32" xfId="0" applyFont="1" applyFill="1" applyBorder="1" applyAlignment="1">
      <alignment horizontal="center" vertical="center"/>
    </xf>
    <xf numFmtId="0" fontId="47" fillId="0" borderId="0" xfId="0" applyFont="1" applyFill="1" applyAlignment="1">
      <alignment horizontal="center" vertical="center"/>
    </xf>
    <xf numFmtId="1" fontId="47" fillId="0" borderId="13" xfId="0" applyNumberFormat="1" applyFont="1" applyFill="1" applyBorder="1" applyAlignment="1">
      <alignment horizontal="center"/>
    </xf>
    <xf numFmtId="0" fontId="0" fillId="0" borderId="15" xfId="0" applyFill="1" applyBorder="1" applyAlignment="1">
      <alignment vertical="center"/>
    </xf>
    <xf numFmtId="1" fontId="28" fillId="0" borderId="0" xfId="98" applyNumberFormat="1" applyFont="1" applyFill="1" applyAlignment="1">
      <alignment vertical="center"/>
      <protection/>
    </xf>
    <xf numFmtId="1" fontId="21" fillId="0" borderId="0" xfId="98" applyNumberFormat="1" applyFont="1" applyFill="1" applyAlignment="1">
      <alignment horizontal="right" vertical="center"/>
      <protection/>
    </xf>
    <xf numFmtId="183" fontId="2" fillId="0" borderId="15" xfId="49" applyNumberFormat="1" applyFont="1" applyBorder="1" applyAlignment="1">
      <alignment vertical="center"/>
    </xf>
    <xf numFmtId="0" fontId="51" fillId="0" borderId="15" xfId="0" applyFont="1" applyBorder="1" applyAlignment="1">
      <alignment horizontal="center" vertical="center" wrapText="1"/>
    </xf>
    <xf numFmtId="0" fontId="52" fillId="0" borderId="15" xfId="0" applyFont="1" applyBorder="1" applyAlignment="1">
      <alignment horizontal="center" vertical="center" wrapText="1"/>
    </xf>
    <xf numFmtId="16" fontId="52" fillId="0" borderId="15" xfId="0" applyNumberFormat="1" applyFont="1" applyBorder="1" applyAlignment="1" quotePrefix="1">
      <alignment horizontal="center" vertical="center" wrapText="1"/>
    </xf>
    <xf numFmtId="3" fontId="52" fillId="0" borderId="15" xfId="0" applyNumberFormat="1" applyFont="1" applyBorder="1" applyAlignment="1">
      <alignment horizontal="center" vertical="center" wrapText="1"/>
    </xf>
    <xf numFmtId="0" fontId="52" fillId="0" borderId="15" xfId="0" applyFont="1" applyBorder="1" applyAlignment="1">
      <alignment horizontal="left" vertical="center" wrapText="1"/>
    </xf>
    <xf numFmtId="0" fontId="47" fillId="0" borderId="0" xfId="0" applyFont="1" applyAlignment="1">
      <alignment/>
    </xf>
    <xf numFmtId="0" fontId="47" fillId="0" borderId="0" xfId="0" applyFont="1" applyAlignment="1">
      <alignment horizontal="left"/>
    </xf>
    <xf numFmtId="0" fontId="53" fillId="0" borderId="15" xfId="0" applyFont="1" applyBorder="1" applyAlignment="1">
      <alignment horizontal="center" vertical="center" wrapText="1"/>
    </xf>
    <xf numFmtId="0" fontId="53" fillId="0" borderId="15" xfId="0" applyFont="1" applyBorder="1" applyAlignment="1">
      <alignment horizontal="center" vertical="center"/>
    </xf>
    <xf numFmtId="0" fontId="54" fillId="0" borderId="15" xfId="0" applyFont="1" applyFill="1" applyBorder="1" applyAlignment="1" quotePrefix="1">
      <alignment vertical="center" wrapText="1"/>
    </xf>
    <xf numFmtId="0" fontId="53" fillId="0" borderId="15" xfId="0" applyFont="1" applyFill="1" applyBorder="1" applyAlignment="1">
      <alignment vertical="center" wrapText="1"/>
    </xf>
    <xf numFmtId="0" fontId="54" fillId="0" borderId="15" xfId="0" applyFont="1" applyFill="1" applyBorder="1" applyAlignment="1">
      <alignment vertical="center" wrapText="1"/>
    </xf>
    <xf numFmtId="0" fontId="15" fillId="0" borderId="15" xfId="0" applyFont="1" applyFill="1" applyBorder="1" applyAlignment="1">
      <alignment horizontal="center" vertical="center" wrapText="1"/>
    </xf>
    <xf numFmtId="0" fontId="59" fillId="0" borderId="15" xfId="0" applyFont="1" applyFill="1" applyBorder="1" applyAlignment="1">
      <alignment vertical="center" wrapText="1"/>
    </xf>
    <xf numFmtId="0" fontId="13" fillId="0" borderId="15" xfId="0" applyFont="1" applyFill="1" applyBorder="1" applyAlignment="1">
      <alignment horizontal="center" vertical="center" wrapText="1"/>
    </xf>
    <xf numFmtId="0" fontId="0" fillId="0" borderId="0" xfId="97" applyAlignment="1">
      <alignment/>
      <protection/>
    </xf>
    <xf numFmtId="1" fontId="10" fillId="0" borderId="0" xfId="98" applyNumberFormat="1" applyFont="1" applyFill="1" applyAlignment="1">
      <alignment vertical="center"/>
      <protection/>
    </xf>
    <xf numFmtId="0" fontId="60" fillId="0" borderId="0" xfId="97" applyNumberFormat="1" applyFont="1">
      <alignment/>
      <protection/>
    </xf>
    <xf numFmtId="0" fontId="18" fillId="0" borderId="0" xfId="97" applyFont="1">
      <alignment/>
      <protection/>
    </xf>
    <xf numFmtId="0" fontId="18" fillId="0" borderId="0" xfId="97" applyFont="1" applyAlignment="1">
      <alignment horizontal="center"/>
      <protection/>
    </xf>
    <xf numFmtId="1" fontId="12" fillId="0" borderId="0" xfId="98" applyNumberFormat="1" applyFont="1" applyFill="1" applyBorder="1" applyAlignment="1">
      <alignment vertical="center" wrapText="1"/>
      <protection/>
    </xf>
    <xf numFmtId="1" fontId="28" fillId="0" borderId="0" xfId="98" applyNumberFormat="1" applyFont="1" applyFill="1" applyBorder="1" applyAlignment="1">
      <alignment horizontal="right" vertical="center"/>
      <protection/>
    </xf>
    <xf numFmtId="0" fontId="61" fillId="0" borderId="0" xfId="97" applyNumberFormat="1" applyFont="1">
      <alignment/>
      <protection/>
    </xf>
    <xf numFmtId="1" fontId="28" fillId="0" borderId="0" xfId="98" applyNumberFormat="1" applyFont="1" applyFill="1" applyAlignment="1">
      <alignment horizontal="right" vertical="center"/>
      <protection/>
    </xf>
    <xf numFmtId="0" fontId="0" fillId="0" borderId="15" xfId="97" applyFont="1" applyBorder="1" applyAlignment="1">
      <alignment horizontal="center" vertical="center" wrapText="1"/>
      <protection/>
    </xf>
    <xf numFmtId="0" fontId="3" fillId="0" borderId="15" xfId="97" applyFont="1" applyBorder="1" applyAlignment="1">
      <alignment horizontal="center"/>
      <protection/>
    </xf>
    <xf numFmtId="0" fontId="2" fillId="32" borderId="15" xfId="97" applyFont="1" applyFill="1" applyBorder="1" applyAlignment="1">
      <alignment horizontal="center" vertical="center"/>
      <protection/>
    </xf>
    <xf numFmtId="0" fontId="2" fillId="32" borderId="15" xfId="97" applyFont="1" applyFill="1" applyBorder="1" applyAlignment="1">
      <alignment vertical="center"/>
      <protection/>
    </xf>
    <xf numFmtId="1" fontId="28" fillId="32" borderId="0" xfId="98" applyNumberFormat="1" applyFont="1" applyFill="1" applyAlignment="1">
      <alignment vertical="center"/>
      <protection/>
    </xf>
    <xf numFmtId="1" fontId="28" fillId="32" borderId="0" xfId="98" applyNumberFormat="1" applyFont="1" applyFill="1" applyAlignment="1">
      <alignment horizontal="right" vertical="center"/>
      <protection/>
    </xf>
    <xf numFmtId="0" fontId="0" fillId="32" borderId="15" xfId="97" applyFont="1" applyFill="1" applyBorder="1" applyAlignment="1">
      <alignment horizontal="center" vertical="center"/>
      <protection/>
    </xf>
    <xf numFmtId="0" fontId="0" fillId="32" borderId="15" xfId="97" applyFont="1" applyFill="1" applyBorder="1" applyAlignment="1">
      <alignment vertical="center"/>
      <protection/>
    </xf>
    <xf numFmtId="183" fontId="53" fillId="0" borderId="15" xfId="49" applyNumberFormat="1" applyFont="1" applyFill="1" applyBorder="1" applyAlignment="1">
      <alignment horizontal="right" vertical="center" wrapText="1"/>
    </xf>
    <xf numFmtId="183" fontId="53" fillId="0" borderId="15" xfId="49" applyNumberFormat="1" applyFont="1" applyFill="1" applyBorder="1" applyAlignment="1">
      <alignment horizontal="center" vertical="center" wrapText="1"/>
    </xf>
    <xf numFmtId="10" fontId="53" fillId="0" borderId="15" xfId="49" applyNumberFormat="1" applyFont="1" applyFill="1" applyBorder="1" applyAlignment="1">
      <alignment horizontal="right" vertical="center" wrapText="1"/>
    </xf>
    <xf numFmtId="171" fontId="53" fillId="0" borderId="15" xfId="49" applyNumberFormat="1" applyFont="1" applyFill="1" applyBorder="1" applyAlignment="1">
      <alignment horizontal="right" vertical="center" wrapText="1"/>
    </xf>
    <xf numFmtId="0" fontId="3" fillId="32" borderId="15" xfId="97" applyFont="1" applyFill="1" applyBorder="1" applyAlignment="1">
      <alignment vertical="center"/>
      <protection/>
    </xf>
    <xf numFmtId="0" fontId="3" fillId="32" borderId="15" xfId="97" applyFont="1" applyFill="1" applyBorder="1" applyAlignment="1">
      <alignment horizontal="center" vertical="center"/>
      <protection/>
    </xf>
    <xf numFmtId="2" fontId="58" fillId="0" borderId="15" xfId="49" applyNumberFormat="1" applyFont="1" applyBorder="1" applyAlignment="1">
      <alignment/>
    </xf>
    <xf numFmtId="10" fontId="53" fillId="0" borderId="15" xfId="49" applyNumberFormat="1" applyFont="1" applyBorder="1" applyAlignment="1">
      <alignment horizontal="right"/>
    </xf>
    <xf numFmtId="0" fontId="53" fillId="0" borderId="15" xfId="97" applyFont="1" applyFill="1" applyBorder="1" applyAlignment="1">
      <alignment vertical="center"/>
      <protection/>
    </xf>
    <xf numFmtId="1" fontId="53" fillId="0" borderId="15" xfId="49" applyNumberFormat="1" applyFont="1" applyFill="1" applyBorder="1" applyAlignment="1">
      <alignment horizontal="right" vertical="center" wrapText="1"/>
    </xf>
    <xf numFmtId="4" fontId="53" fillId="0" borderId="15" xfId="49" applyNumberFormat="1" applyFont="1" applyFill="1" applyBorder="1" applyAlignment="1">
      <alignment horizontal="right" vertical="center" wrapText="1"/>
    </xf>
    <xf numFmtId="37" fontId="53" fillId="0" borderId="15" xfId="49" applyNumberFormat="1" applyFont="1" applyFill="1" applyBorder="1" applyAlignment="1">
      <alignment horizontal="right" vertical="center" wrapText="1"/>
    </xf>
    <xf numFmtId="1" fontId="53" fillId="0" borderId="15" xfId="97" applyNumberFormat="1" applyFont="1" applyFill="1" applyBorder="1" applyAlignment="1">
      <alignment vertical="center"/>
      <protection/>
    </xf>
    <xf numFmtId="0" fontId="0" fillId="0" borderId="15" xfId="97" applyFont="1" applyBorder="1" applyAlignment="1">
      <alignment horizontal="center" vertical="center"/>
      <protection/>
    </xf>
    <xf numFmtId="0" fontId="0" fillId="0" borderId="15" xfId="97" applyFont="1" applyBorder="1" applyAlignment="1">
      <alignment vertical="center"/>
      <protection/>
    </xf>
    <xf numFmtId="0" fontId="2" fillId="0" borderId="15" xfId="97" applyFont="1" applyBorder="1" applyAlignment="1">
      <alignment horizontal="center" vertical="center"/>
      <protection/>
    </xf>
    <xf numFmtId="0" fontId="2" fillId="0" borderId="15" xfId="97" applyFont="1" applyBorder="1" applyAlignment="1">
      <alignment vertical="center"/>
      <protection/>
    </xf>
    <xf numFmtId="0" fontId="0" fillId="0" borderId="0" xfId="97" applyFont="1">
      <alignment/>
      <protection/>
    </xf>
    <xf numFmtId="0" fontId="0" fillId="0" borderId="0" xfId="97" applyFont="1" applyAlignment="1">
      <alignment horizontal="center"/>
      <protection/>
    </xf>
    <xf numFmtId="0" fontId="2" fillId="0" borderId="0" xfId="97" applyFont="1">
      <alignment/>
      <protection/>
    </xf>
    <xf numFmtId="0" fontId="62" fillId="0" borderId="0" xfId="97" applyFont="1">
      <alignment/>
      <protection/>
    </xf>
    <xf numFmtId="0" fontId="18" fillId="0" borderId="0" xfId="97" applyFont="1" quotePrefix="1">
      <alignment/>
      <protection/>
    </xf>
    <xf numFmtId="0" fontId="0" fillId="0" borderId="0" xfId="97" applyFont="1" applyAlignment="1">
      <alignment horizontal="left"/>
      <protection/>
    </xf>
    <xf numFmtId="1" fontId="28" fillId="0" borderId="0" xfId="98" applyNumberFormat="1" applyFont="1" applyFill="1" applyAlignment="1">
      <alignment horizontal="center" vertical="center"/>
      <protection/>
    </xf>
    <xf numFmtId="1" fontId="28" fillId="0" borderId="0" xfId="98" applyNumberFormat="1" applyFont="1" applyFill="1" applyAlignment="1">
      <alignment vertical="center" wrapText="1"/>
      <protection/>
    </xf>
    <xf numFmtId="1" fontId="28" fillId="0" borderId="0" xfId="98" applyNumberFormat="1" applyFont="1" applyFill="1" applyAlignment="1">
      <alignment horizontal="center" vertical="center" wrapText="1"/>
      <protection/>
    </xf>
    <xf numFmtId="181" fontId="52" fillId="0" borderId="15" xfId="0" applyNumberFormat="1" applyFont="1" applyBorder="1" applyAlignment="1">
      <alignment horizontal="center" vertical="center" wrapText="1"/>
    </xf>
    <xf numFmtId="2" fontId="47" fillId="0" borderId="0" xfId="0" applyNumberFormat="1" applyFont="1" applyAlignment="1">
      <alignment/>
    </xf>
    <xf numFmtId="181" fontId="47" fillId="0" borderId="0" xfId="0" applyNumberFormat="1" applyFont="1" applyAlignment="1">
      <alignment/>
    </xf>
    <xf numFmtId="183" fontId="47" fillId="0" borderId="0" xfId="49" applyNumberFormat="1" applyFont="1" applyAlignment="1">
      <alignment/>
    </xf>
    <xf numFmtId="0" fontId="2" fillId="0" borderId="15" xfId="0" applyFont="1" applyFill="1" applyBorder="1" applyAlignment="1">
      <alignment horizontal="center" vertical="center"/>
    </xf>
    <xf numFmtId="0" fontId="4" fillId="0" borderId="15" xfId="0" applyFont="1" applyFill="1" applyBorder="1" applyAlignment="1">
      <alignment horizontal="left" vertical="center"/>
    </xf>
    <xf numFmtId="49" fontId="4" fillId="0" borderId="15" xfId="0" applyNumberFormat="1" applyFont="1" applyFill="1" applyBorder="1" applyAlignment="1">
      <alignment vertical="center"/>
    </xf>
    <xf numFmtId="183" fontId="4" fillId="0" borderId="15" xfId="0" applyNumberFormat="1" applyFont="1" applyFill="1" applyBorder="1" applyAlignment="1">
      <alignment horizontal="right" vertical="center" wrapText="1"/>
    </xf>
    <xf numFmtId="181" fontId="4" fillId="0" borderId="15"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49" fontId="3" fillId="0" borderId="15" xfId="0" applyNumberFormat="1" applyFont="1" applyBorder="1" applyAlignment="1">
      <alignment vertical="center"/>
    </xf>
    <xf numFmtId="183" fontId="3" fillId="0" borderId="15" xfId="0" applyNumberFormat="1" applyFont="1" applyBorder="1" applyAlignment="1">
      <alignment vertical="center"/>
    </xf>
    <xf numFmtId="9" fontId="3" fillId="0" borderId="15" xfId="106" applyNumberFormat="1" applyFont="1" applyBorder="1" applyAlignment="1">
      <alignment vertical="center"/>
    </xf>
    <xf numFmtId="49" fontId="2" fillId="0" borderId="15" xfId="0" applyNumberFormat="1" applyFont="1" applyFill="1" applyBorder="1" applyAlignment="1">
      <alignment horizontal="left" vertical="center" wrapText="1"/>
    </xf>
    <xf numFmtId="183" fontId="2" fillId="0" borderId="15" xfId="0" applyNumberFormat="1" applyFont="1" applyFill="1" applyBorder="1" applyAlignment="1">
      <alignment horizontal="center" vertical="center" wrapText="1"/>
    </xf>
    <xf numFmtId="183" fontId="2" fillId="0" borderId="15" xfId="0" applyNumberFormat="1" applyFont="1" applyFill="1" applyBorder="1" applyAlignment="1">
      <alignment horizontal="right" vertical="center" wrapText="1"/>
    </xf>
    <xf numFmtId="0" fontId="2" fillId="0" borderId="15" xfId="0" applyFont="1" applyFill="1" applyBorder="1" applyAlignment="1">
      <alignment horizontal="left" vertical="center"/>
    </xf>
    <xf numFmtId="49" fontId="2" fillId="0" borderId="15" xfId="0" applyNumberFormat="1" applyFont="1" applyFill="1" applyBorder="1" applyAlignment="1">
      <alignment vertical="center" wrapText="1"/>
    </xf>
    <xf numFmtId="183" fontId="2" fillId="0" borderId="15" xfId="49" applyNumberFormat="1" applyFont="1" applyFill="1" applyBorder="1" applyAlignment="1">
      <alignment vertical="center"/>
    </xf>
    <xf numFmtId="183" fontId="2" fillId="0" borderId="15" xfId="49" applyNumberFormat="1" applyFont="1" applyFill="1" applyBorder="1" applyAlignment="1">
      <alignment horizontal="right" vertical="center"/>
    </xf>
    <xf numFmtId="0" fontId="2" fillId="0" borderId="15" xfId="0" applyFont="1" applyFill="1" applyBorder="1" applyAlignment="1">
      <alignment horizontal="right" vertical="center"/>
    </xf>
    <xf numFmtId="194" fontId="2" fillId="0" borderId="15" xfId="0" applyNumberFormat="1" applyFont="1" applyFill="1" applyBorder="1" applyAlignment="1">
      <alignment horizontal="right" vertical="center" wrapText="1"/>
    </xf>
    <xf numFmtId="194" fontId="0" fillId="0" borderId="15" xfId="0" applyNumberFormat="1" applyFont="1" applyFill="1" applyBorder="1" applyAlignment="1">
      <alignment horizontal="right" vertical="center" wrapText="1"/>
    </xf>
    <xf numFmtId="183" fontId="0" fillId="0" borderId="15" xfId="0" applyNumberFormat="1" applyFont="1" applyFill="1" applyBorder="1" applyAlignment="1">
      <alignment horizontal="right" vertical="center" wrapText="1"/>
    </xf>
    <xf numFmtId="181" fontId="0" fillId="0" borderId="15" xfId="0" applyNumberFormat="1" applyFont="1" applyFill="1" applyBorder="1" applyAlignment="1">
      <alignment horizontal="center" vertical="center" wrapText="1"/>
    </xf>
    <xf numFmtId="0" fontId="2" fillId="0" borderId="15" xfId="0" applyFont="1" applyFill="1" applyBorder="1" applyAlignment="1">
      <alignment horizontal="right" vertical="center"/>
    </xf>
    <xf numFmtId="0" fontId="2" fillId="0" borderId="15" xfId="0" applyFont="1" applyFill="1" applyBorder="1" applyAlignment="1">
      <alignment vertical="center" wrapText="1"/>
    </xf>
    <xf numFmtId="193" fontId="2" fillId="0" borderId="15" xfId="49" applyNumberFormat="1" applyFont="1" applyFill="1" applyBorder="1" applyAlignment="1">
      <alignment vertical="center"/>
    </xf>
    <xf numFmtId="3" fontId="2" fillId="0" borderId="15" xfId="49" applyNumberFormat="1" applyFont="1" applyFill="1" applyBorder="1" applyAlignment="1">
      <alignment vertical="center"/>
    </xf>
    <xf numFmtId="0" fontId="2" fillId="0" borderId="15" xfId="0" applyFont="1" applyBorder="1" applyAlignment="1">
      <alignment vertical="center"/>
    </xf>
    <xf numFmtId="0" fontId="3" fillId="0" borderId="15" xfId="0" applyFont="1" applyFill="1" applyBorder="1" applyAlignment="1">
      <alignment horizontal="center" vertical="center"/>
    </xf>
    <xf numFmtId="49" fontId="3" fillId="0" borderId="15" xfId="0" applyNumberFormat="1" applyFont="1" applyFill="1" applyBorder="1" applyAlignment="1">
      <alignment vertical="center" wrapText="1"/>
    </xf>
    <xf numFmtId="183" fontId="3" fillId="0" borderId="15" xfId="0" applyNumberFormat="1" applyFont="1" applyFill="1" applyBorder="1" applyAlignment="1">
      <alignment horizontal="right" vertical="center" wrapText="1"/>
    </xf>
    <xf numFmtId="183" fontId="3" fillId="0" borderId="15" xfId="49" applyNumberFormat="1" applyFont="1" applyFill="1" applyBorder="1" applyAlignment="1">
      <alignment horizontal="right" vertical="center" wrapText="1"/>
    </xf>
    <xf numFmtId="183" fontId="3" fillId="0" borderId="15" xfId="49" applyNumberFormat="1" applyFont="1" applyBorder="1" applyAlignment="1">
      <alignment vertical="center"/>
    </xf>
    <xf numFmtId="0" fontId="0" fillId="0" borderId="15" xfId="0" applyFont="1" applyBorder="1" applyAlignment="1">
      <alignment vertical="center"/>
    </xf>
    <xf numFmtId="183" fontId="2" fillId="0" borderId="15" xfId="49" applyNumberFormat="1" applyFont="1" applyBorder="1" applyAlignment="1">
      <alignment vertical="center"/>
    </xf>
    <xf numFmtId="0" fontId="0" fillId="0" borderId="15" xfId="0" applyFont="1" applyFill="1" applyBorder="1" applyAlignment="1">
      <alignment horizontal="left" vertical="center"/>
    </xf>
    <xf numFmtId="49" fontId="0" fillId="0" borderId="15" xfId="0" applyNumberFormat="1" applyFont="1" applyFill="1" applyBorder="1" applyAlignment="1">
      <alignment vertical="center" wrapText="1"/>
    </xf>
    <xf numFmtId="183" fontId="0" fillId="0" borderId="15" xfId="0" applyNumberFormat="1" applyFont="1" applyFill="1" applyBorder="1" applyAlignment="1">
      <alignment horizontal="right" vertical="center" wrapText="1"/>
    </xf>
    <xf numFmtId="183" fontId="0" fillId="0" borderId="15" xfId="0" applyNumberFormat="1" applyFont="1" applyBorder="1" applyAlignment="1">
      <alignment vertical="center"/>
    </xf>
    <xf numFmtId="0" fontId="2" fillId="0" borderId="15" xfId="0" applyFont="1" applyFill="1" applyBorder="1" applyAlignment="1">
      <alignment horizontal="left" vertical="center"/>
    </xf>
    <xf numFmtId="49" fontId="2" fillId="0" borderId="15" xfId="0" applyNumberFormat="1" applyFont="1" applyFill="1" applyBorder="1" applyAlignment="1">
      <alignment vertical="center"/>
    </xf>
    <xf numFmtId="183" fontId="2" fillId="0" borderId="15" xfId="0" applyNumberFormat="1" applyFont="1" applyFill="1" applyBorder="1" applyAlignment="1">
      <alignment horizontal="right" vertical="center" wrapText="1"/>
    </xf>
    <xf numFmtId="0" fontId="6" fillId="0" borderId="0" xfId="99" applyFont="1" applyFill="1" applyAlignment="1">
      <alignment horizontal="left"/>
      <protection/>
    </xf>
    <xf numFmtId="0" fontId="47" fillId="0" borderId="0" xfId="99" applyFont="1" applyFill="1">
      <alignment/>
      <protection/>
    </xf>
    <xf numFmtId="3" fontId="47" fillId="0" borderId="0" xfId="49" applyNumberFormat="1" applyFont="1" applyFill="1" applyAlignment="1">
      <alignment/>
    </xf>
    <xf numFmtId="3" fontId="49" fillId="0" borderId="0" xfId="49" applyNumberFormat="1" applyFont="1" applyFill="1" applyAlignment="1">
      <alignment/>
    </xf>
    <xf numFmtId="183" fontId="49" fillId="0" borderId="0" xfId="49" applyNumberFormat="1" applyFont="1" applyFill="1" applyAlignment="1">
      <alignment/>
    </xf>
    <xf numFmtId="183" fontId="47" fillId="0" borderId="0" xfId="49" applyNumberFormat="1" applyFont="1" applyFill="1" applyAlignment="1">
      <alignment/>
    </xf>
    <xf numFmtId="0" fontId="47" fillId="0" borderId="0" xfId="99" applyFont="1" applyFill="1" applyAlignment="1">
      <alignment horizontal="center"/>
      <protection/>
    </xf>
    <xf numFmtId="0" fontId="6" fillId="0" borderId="15" xfId="99" applyFont="1" applyFill="1" applyBorder="1" applyAlignment="1">
      <alignment horizontal="center" vertical="center"/>
      <protection/>
    </xf>
    <xf numFmtId="183" fontId="6" fillId="0" borderId="15" xfId="49" applyNumberFormat="1" applyFont="1" applyFill="1" applyBorder="1" applyAlignment="1">
      <alignment horizontal="center" vertical="center" wrapText="1"/>
    </xf>
    <xf numFmtId="0" fontId="6" fillId="0" borderId="0" xfId="0" applyFont="1" applyFill="1" applyAlignment="1">
      <alignment/>
    </xf>
    <xf numFmtId="3" fontId="6" fillId="0" borderId="15" xfId="49" applyNumberFormat="1" applyFont="1" applyFill="1" applyBorder="1" applyAlignment="1">
      <alignment horizontal="center" vertical="center"/>
    </xf>
    <xf numFmtId="194" fontId="6" fillId="0" borderId="33" xfId="49" applyNumberFormat="1" applyFont="1" applyFill="1" applyBorder="1" applyAlignment="1">
      <alignment horizontal="center" vertical="center"/>
    </xf>
    <xf numFmtId="194" fontId="6" fillId="0" borderId="13" xfId="49" applyNumberFormat="1" applyFont="1" applyFill="1" applyBorder="1" applyAlignment="1">
      <alignment horizontal="center" vertical="center"/>
    </xf>
    <xf numFmtId="0" fontId="47" fillId="0" borderId="0" xfId="0" applyFont="1" applyFill="1" applyAlignment="1">
      <alignment horizontal="center"/>
    </xf>
    <xf numFmtId="196" fontId="2" fillId="0" borderId="0" xfId="106" applyNumberFormat="1" applyFont="1" applyAlignment="1">
      <alignment vertical="center"/>
    </xf>
    <xf numFmtId="196" fontId="0" fillId="0" borderId="0" xfId="0" applyNumberFormat="1" applyFont="1" applyAlignment="1">
      <alignment vertical="center"/>
    </xf>
    <xf numFmtId="0" fontId="0" fillId="0" borderId="15" xfId="91" applyFont="1" applyFill="1" applyBorder="1" applyAlignment="1">
      <alignment horizontal="center" vertical="center"/>
      <protection/>
    </xf>
    <xf numFmtId="0" fontId="0" fillId="0" borderId="15" xfId="91" applyFont="1" applyFill="1" applyBorder="1" applyAlignment="1" quotePrefix="1">
      <alignment vertical="center" wrapText="1"/>
      <protection/>
    </xf>
    <xf numFmtId="0" fontId="0" fillId="0" borderId="15" xfId="91" applyFont="1" applyFill="1" applyBorder="1" applyAlignment="1">
      <alignment horizontal="right" vertical="center"/>
      <protection/>
    </xf>
    <xf numFmtId="0" fontId="0" fillId="0" borderId="15" xfId="91" applyFont="1" applyFill="1" applyBorder="1" applyAlignment="1" quotePrefix="1">
      <alignment vertical="center"/>
      <protection/>
    </xf>
    <xf numFmtId="3" fontId="0" fillId="0" borderId="15" xfId="0" applyNumberFormat="1"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12" fillId="0" borderId="0" xfId="0" applyFont="1" applyFill="1" applyAlignment="1">
      <alignment horizontal="center" vertical="center"/>
    </xf>
    <xf numFmtId="0" fontId="0" fillId="0" borderId="0" xfId="103" applyFont="1">
      <alignment/>
      <protection/>
    </xf>
    <xf numFmtId="0" fontId="0" fillId="0" borderId="0" xfId="103" applyFont="1" applyAlignment="1">
      <alignment/>
      <protection/>
    </xf>
    <xf numFmtId="0" fontId="21" fillId="0" borderId="0" xfId="103" applyFont="1" applyAlignment="1">
      <alignment horizontal="right"/>
      <protection/>
    </xf>
    <xf numFmtId="0" fontId="12" fillId="0" borderId="0" xfId="96" applyFont="1" applyBorder="1" applyAlignment="1">
      <alignment horizontal="center" vertical="center"/>
      <protection/>
    </xf>
    <xf numFmtId="0" fontId="14" fillId="0" borderId="0" xfId="96" applyFont="1" applyAlignment="1">
      <alignment vertical="center"/>
      <protection/>
    </xf>
    <xf numFmtId="0" fontId="54" fillId="0" borderId="0" xfId="100" applyFont="1" applyAlignment="1">
      <alignment horizontal="center" vertical="center" wrapText="1"/>
      <protection/>
    </xf>
    <xf numFmtId="0" fontId="60" fillId="0" borderId="0" xfId="100" applyFont="1" applyAlignment="1">
      <alignment horizontal="center" vertical="center" wrapText="1"/>
      <protection/>
    </xf>
    <xf numFmtId="0" fontId="54" fillId="0" borderId="0" xfId="100" applyFont="1" applyAlignment="1">
      <alignment vertical="center" wrapText="1"/>
      <protection/>
    </xf>
    <xf numFmtId="0" fontId="60" fillId="0" borderId="0" xfId="100" applyFont="1" applyAlignment="1">
      <alignment vertical="center" wrapText="1"/>
      <protection/>
    </xf>
    <xf numFmtId="0" fontId="54" fillId="4" borderId="0" xfId="100" applyFont="1" applyFill="1">
      <alignment/>
      <protection/>
    </xf>
    <xf numFmtId="0" fontId="60" fillId="4" borderId="0" xfId="100" applyFont="1" applyFill="1">
      <alignment/>
      <protection/>
    </xf>
    <xf numFmtId="0" fontId="53" fillId="0" borderId="0" xfId="100" applyFont="1">
      <alignment/>
      <protection/>
    </xf>
    <xf numFmtId="0" fontId="66" fillId="0" borderId="0" xfId="100" applyFont="1">
      <alignment/>
      <protection/>
    </xf>
    <xf numFmtId="0" fontId="54" fillId="0" borderId="0" xfId="100" applyFont="1">
      <alignment/>
      <protection/>
    </xf>
    <xf numFmtId="0" fontId="60" fillId="0" borderId="0" xfId="100" applyFont="1">
      <alignment/>
      <protection/>
    </xf>
    <xf numFmtId="215" fontId="69" fillId="0" borderId="13" xfId="100" applyNumberFormat="1" applyFont="1" applyBorder="1" applyAlignment="1">
      <alignment horizontal="center"/>
      <protection/>
    </xf>
    <xf numFmtId="0" fontId="69" fillId="0" borderId="0" xfId="100" applyFont="1">
      <alignment/>
      <protection/>
    </xf>
    <xf numFmtId="0" fontId="70" fillId="0" borderId="0" xfId="100" applyFont="1">
      <alignment/>
      <protection/>
    </xf>
    <xf numFmtId="215" fontId="69" fillId="0" borderId="0" xfId="100" applyNumberFormat="1" applyFont="1" applyBorder="1" applyAlignment="1">
      <alignment horizontal="center"/>
      <protection/>
    </xf>
    <xf numFmtId="0" fontId="53" fillId="4" borderId="0" xfId="100" applyFont="1" applyFill="1">
      <alignment/>
      <protection/>
    </xf>
    <xf numFmtId="0" fontId="66" fillId="4" borderId="0" xfId="100" applyFont="1" applyFill="1">
      <alignment/>
      <protection/>
    </xf>
    <xf numFmtId="0" fontId="66" fillId="0" borderId="0" xfId="100" applyFont="1" applyAlignment="1">
      <alignment horizontal="center"/>
      <protection/>
    </xf>
    <xf numFmtId="0" fontId="73" fillId="0" borderId="15" xfId="0" applyFont="1" applyBorder="1" applyAlignment="1">
      <alignment horizontal="center" vertical="center" wrapText="1"/>
    </xf>
    <xf numFmtId="0" fontId="73" fillId="0" borderId="15" xfId="0" applyFont="1" applyBorder="1" applyAlignment="1">
      <alignment horizontal="left" vertical="center" wrapText="1"/>
    </xf>
    <xf numFmtId="0" fontId="74" fillId="0" borderId="15" xfId="0" applyFont="1" applyBorder="1" applyAlignment="1">
      <alignment horizontal="center" vertical="center"/>
    </xf>
    <xf numFmtId="0" fontId="74" fillId="0" borderId="15" xfId="0" applyFont="1" applyBorder="1" applyAlignment="1">
      <alignment vertical="center"/>
    </xf>
    <xf numFmtId="0" fontId="74" fillId="0" borderId="15" xfId="0" applyFont="1" applyBorder="1" applyAlignment="1">
      <alignment/>
    </xf>
    <xf numFmtId="196" fontId="0" fillId="0" borderId="15" xfId="106" applyNumberFormat="1" applyFont="1" applyBorder="1" applyAlignment="1">
      <alignment/>
    </xf>
    <xf numFmtId="0" fontId="75" fillId="0" borderId="15" xfId="0" applyFont="1" applyBorder="1" applyAlignment="1">
      <alignment/>
    </xf>
    <xf numFmtId="0" fontId="74" fillId="0" borderId="15" xfId="0" applyFont="1" applyBorder="1" applyAlignment="1">
      <alignment vertical="center" wrapText="1"/>
    </xf>
    <xf numFmtId="0" fontId="73" fillId="0" borderId="15" xfId="0" applyFont="1" applyBorder="1" applyAlignment="1">
      <alignment horizontal="center" vertical="center"/>
    </xf>
    <xf numFmtId="0" fontId="73" fillId="0" borderId="15" xfId="0" applyFont="1" applyBorder="1" applyAlignment="1">
      <alignment horizontal="left" vertical="center"/>
    </xf>
    <xf numFmtId="196" fontId="0" fillId="0" borderId="15" xfId="106" applyNumberFormat="1" applyFont="1" applyBorder="1" applyAlignment="1">
      <alignment vertical="center"/>
    </xf>
    <xf numFmtId="0" fontId="74" fillId="0" borderId="1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5" xfId="0" applyFont="1" applyBorder="1" applyAlignment="1">
      <alignment vertical="center"/>
    </xf>
    <xf numFmtId="196" fontId="3" fillId="0" borderId="15" xfId="106" applyNumberFormat="1" applyFont="1" applyBorder="1" applyAlignment="1">
      <alignment vertical="center"/>
    </xf>
    <xf numFmtId="196" fontId="2" fillId="0" borderId="15" xfId="106" applyNumberFormat="1" applyFont="1" applyBorder="1" applyAlignment="1">
      <alignment vertical="center"/>
    </xf>
    <xf numFmtId="3" fontId="0" fillId="0" borderId="15" xfId="0" applyNumberFormat="1" applyFont="1" applyBorder="1" applyAlignment="1">
      <alignment/>
    </xf>
    <xf numFmtId="0" fontId="0" fillId="0" borderId="15" xfId="99" applyFont="1" applyBorder="1" applyAlignment="1">
      <alignment horizontal="center" vertical="center"/>
      <protection/>
    </xf>
    <xf numFmtId="0" fontId="0" fillId="0" borderId="15" xfId="99" applyFont="1" applyBorder="1" applyAlignment="1" quotePrefix="1">
      <alignment vertical="center" wrapText="1"/>
      <protection/>
    </xf>
    <xf numFmtId="3" fontId="0" fillId="0" borderId="15" xfId="49" applyNumberFormat="1" applyFont="1" applyBorder="1" applyAlignment="1">
      <alignment vertical="center"/>
    </xf>
    <xf numFmtId="3" fontId="0" fillId="0" borderId="15" xfId="99" applyNumberFormat="1" applyFont="1" applyBorder="1" applyAlignment="1">
      <alignment vertical="center"/>
      <protection/>
    </xf>
    <xf numFmtId="9" fontId="0" fillId="0" borderId="15" xfId="0" applyNumberFormat="1" applyFont="1" applyBorder="1" applyAlignment="1">
      <alignment horizontal="center" vertical="center"/>
    </xf>
    <xf numFmtId="0" fontId="0" fillId="0" borderId="0" xfId="99" applyFont="1" applyAlignment="1">
      <alignment vertical="center"/>
      <protection/>
    </xf>
    <xf numFmtId="3" fontId="0" fillId="0" borderId="15" xfId="49" applyNumberFormat="1" applyFont="1" applyBorder="1" applyAlignment="1">
      <alignment horizontal="right" vertical="center"/>
    </xf>
    <xf numFmtId="3" fontId="0" fillId="0" borderId="15" xfId="49" applyNumberFormat="1" applyFont="1" applyBorder="1" applyAlignment="1">
      <alignment horizontal="center" vertical="center"/>
    </xf>
    <xf numFmtId="0" fontId="3" fillId="0" borderId="15" xfId="99" applyFont="1" applyBorder="1" applyAlignment="1">
      <alignment horizontal="center" vertical="center"/>
      <protection/>
    </xf>
    <xf numFmtId="0" fontId="0" fillId="0" borderId="15" xfId="99" applyFont="1" applyBorder="1" applyAlignment="1">
      <alignment vertical="center" wrapText="1"/>
      <protection/>
    </xf>
    <xf numFmtId="0" fontId="0" fillId="0" borderId="15" xfId="99" applyFont="1" applyBorder="1" applyAlignment="1">
      <alignment horizontal="center" vertical="center"/>
      <protection/>
    </xf>
    <xf numFmtId="0" fontId="3" fillId="0" borderId="0" xfId="99" applyFont="1" applyAlignment="1">
      <alignment vertical="center"/>
      <protection/>
    </xf>
    <xf numFmtId="194" fontId="74" fillId="0" borderId="15" xfId="49" applyNumberFormat="1" applyFont="1" applyBorder="1" applyAlignment="1">
      <alignment/>
    </xf>
    <xf numFmtId="194" fontId="6" fillId="0" borderId="34" xfId="49" applyNumberFormat="1" applyFont="1" applyFill="1" applyBorder="1" applyAlignment="1">
      <alignment horizontal="center" vertical="center"/>
    </xf>
    <xf numFmtId="194" fontId="6" fillId="0" borderId="35" xfId="49" applyNumberFormat="1" applyFont="1" applyFill="1" applyBorder="1" applyAlignment="1">
      <alignment horizontal="center" vertical="center"/>
    </xf>
    <xf numFmtId="0" fontId="47" fillId="0" borderId="35" xfId="0" applyFont="1" applyFill="1" applyBorder="1" applyAlignment="1">
      <alignment/>
    </xf>
    <xf numFmtId="0" fontId="6" fillId="0" borderId="15" xfId="99" applyFont="1" applyFill="1" applyBorder="1" applyAlignment="1">
      <alignment horizontal="center"/>
      <protection/>
    </xf>
    <xf numFmtId="0" fontId="6" fillId="0" borderId="15" xfId="99" applyFont="1" applyFill="1" applyBorder="1" applyAlignment="1">
      <alignment horizontal="center" wrapText="1"/>
      <protection/>
    </xf>
    <xf numFmtId="0" fontId="6" fillId="0" borderId="15" xfId="99" applyFont="1" applyFill="1" applyBorder="1">
      <alignment/>
      <protection/>
    </xf>
    <xf numFmtId="194" fontId="6" fillId="0" borderId="15" xfId="49" applyNumberFormat="1" applyFont="1" applyFill="1" applyBorder="1" applyAlignment="1">
      <alignment horizontal="center" vertical="center"/>
    </xf>
    <xf numFmtId="0" fontId="6" fillId="0" borderId="15" xfId="99" applyFont="1" applyFill="1" applyBorder="1" applyAlignment="1">
      <alignment wrapText="1"/>
      <protection/>
    </xf>
    <xf numFmtId="194" fontId="47" fillId="0" borderId="15" xfId="49" applyNumberFormat="1" applyFont="1" applyFill="1" applyBorder="1" applyAlignment="1">
      <alignment horizontal="center" vertical="center"/>
    </xf>
    <xf numFmtId="0" fontId="47" fillId="0" borderId="15" xfId="99" applyFont="1" applyFill="1" applyBorder="1" applyAlignment="1">
      <alignment horizontal="center" vertical="center" wrapText="1"/>
      <protection/>
    </xf>
    <xf numFmtId="0" fontId="47" fillId="0" borderId="15" xfId="99" applyFont="1" applyFill="1" applyBorder="1" applyAlignment="1">
      <alignment horizontal="justify" vertical="center" wrapText="1"/>
      <protection/>
    </xf>
    <xf numFmtId="0" fontId="47" fillId="0" borderId="15" xfId="99" applyFont="1" applyFill="1" applyBorder="1" applyAlignment="1">
      <alignment horizontal="left" vertical="center" wrapText="1"/>
      <protection/>
    </xf>
    <xf numFmtId="0" fontId="47" fillId="0" borderId="15" xfId="99" applyFont="1" applyFill="1" applyBorder="1" applyAlignment="1">
      <alignment horizontal="center" vertical="center"/>
      <protection/>
    </xf>
    <xf numFmtId="3" fontId="47" fillId="0" borderId="15" xfId="99" applyNumberFormat="1" applyFont="1" applyFill="1" applyBorder="1" applyAlignment="1">
      <alignment horizontal="right" vertical="center"/>
      <protection/>
    </xf>
    <xf numFmtId="3" fontId="47" fillId="0" borderId="15" xfId="99" applyNumberFormat="1" applyFont="1" applyFill="1" applyBorder="1" applyAlignment="1">
      <alignment vertical="center"/>
      <protection/>
    </xf>
    <xf numFmtId="0" fontId="47" fillId="0" borderId="15" xfId="0" applyFont="1" applyFill="1" applyBorder="1" applyAlignment="1">
      <alignment horizontal="left" vertical="center" wrapText="1"/>
    </xf>
    <xf numFmtId="0" fontId="47" fillId="0" borderId="15" xfId="0" applyFont="1" applyFill="1" applyBorder="1" applyAlignment="1">
      <alignment horizontal="center" vertical="center"/>
    </xf>
    <xf numFmtId="3" fontId="47" fillId="0" borderId="15" xfId="0" applyNumberFormat="1" applyFont="1" applyFill="1" applyBorder="1" applyAlignment="1">
      <alignment horizontal="right" vertical="center"/>
    </xf>
    <xf numFmtId="0" fontId="47" fillId="0" borderId="15" xfId="0" applyFont="1" applyFill="1" applyBorder="1" applyAlignment="1">
      <alignment horizontal="justify" vertical="center" wrapText="1"/>
    </xf>
    <xf numFmtId="183" fontId="47" fillId="0" borderId="15" xfId="49" applyNumberFormat="1" applyFont="1" applyFill="1" applyBorder="1" applyAlignment="1">
      <alignment/>
    </xf>
    <xf numFmtId="0" fontId="47" fillId="0" borderId="15" xfId="99" applyFont="1" applyFill="1" applyBorder="1" applyAlignment="1">
      <alignment horizontal="center"/>
      <protection/>
    </xf>
    <xf numFmtId="0" fontId="47" fillId="0" borderId="15" xfId="99" applyFont="1" applyFill="1" applyBorder="1" applyAlignment="1">
      <alignment wrapText="1"/>
      <protection/>
    </xf>
    <xf numFmtId="0" fontId="47" fillId="0" borderId="15" xfId="99" applyFont="1" applyFill="1" applyBorder="1">
      <alignment/>
      <protection/>
    </xf>
    <xf numFmtId="3" fontId="47" fillId="0" borderId="15" xfId="49" applyNumberFormat="1" applyFont="1" applyFill="1" applyBorder="1" applyAlignment="1">
      <alignment horizontal="center" vertical="center"/>
    </xf>
    <xf numFmtId="0" fontId="47" fillId="0" borderId="15" xfId="99" applyFont="1" applyFill="1" applyBorder="1" applyAlignment="1">
      <alignment horizontal="justify" wrapText="1"/>
      <protection/>
    </xf>
    <xf numFmtId="0" fontId="63" fillId="0" borderId="15" xfId="99" applyFont="1" applyFill="1" applyBorder="1" applyAlignment="1">
      <alignment wrapText="1"/>
      <protection/>
    </xf>
    <xf numFmtId="0" fontId="64" fillId="0" borderId="15" xfId="0" applyFont="1" applyFill="1" applyBorder="1" applyAlignment="1">
      <alignment vertical="center"/>
    </xf>
    <xf numFmtId="3" fontId="47" fillId="0" borderId="15" xfId="49" applyNumberFormat="1" applyFont="1" applyFill="1" applyBorder="1" applyAlignment="1">
      <alignment/>
    </xf>
    <xf numFmtId="3" fontId="58" fillId="0" borderId="15" xfId="49" applyNumberFormat="1" applyFont="1" applyBorder="1" applyAlignment="1">
      <alignment horizontal="right"/>
    </xf>
    <xf numFmtId="0" fontId="54" fillId="0" borderId="15" xfId="0" applyFont="1" applyBorder="1" applyAlignment="1">
      <alignment horizontal="center" vertical="center" wrapText="1"/>
    </xf>
    <xf numFmtId="0" fontId="0"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183" fontId="2" fillId="0" borderId="15" xfId="49" applyNumberFormat="1" applyFont="1" applyFill="1" applyBorder="1" applyAlignment="1">
      <alignment horizontal="center" vertical="center"/>
    </xf>
    <xf numFmtId="183" fontId="54" fillId="0" borderId="15" xfId="49" applyNumberFormat="1" applyFont="1" applyFill="1" applyBorder="1" applyAlignment="1">
      <alignment vertical="center"/>
    </xf>
    <xf numFmtId="196" fontId="2" fillId="0" borderId="15" xfId="106" applyNumberFormat="1" applyFont="1" applyFill="1" applyBorder="1" applyAlignment="1">
      <alignment vertical="center"/>
    </xf>
    <xf numFmtId="0" fontId="3" fillId="0" borderId="15" xfId="0" applyFont="1" applyFill="1" applyBorder="1" applyAlignment="1">
      <alignment horizontal="center" vertical="top"/>
    </xf>
    <xf numFmtId="0" fontId="0" fillId="0" borderId="15" xfId="0" applyFont="1" applyFill="1" applyBorder="1" applyAlignment="1" quotePrefix="1">
      <alignment vertical="center" wrapText="1"/>
    </xf>
    <xf numFmtId="0" fontId="0" fillId="0" borderId="15" xfId="0" applyFont="1" applyFill="1" applyBorder="1" applyAlignment="1">
      <alignment horizontal="center" vertical="center"/>
    </xf>
    <xf numFmtId="183" fontId="55" fillId="0" borderId="15" xfId="49" applyNumberFormat="1" applyFont="1" applyFill="1" applyBorder="1" applyAlignment="1">
      <alignment vertical="center"/>
    </xf>
    <xf numFmtId="196" fontId="0" fillId="0" borderId="15" xfId="106" applyNumberFormat="1" applyFont="1" applyFill="1" applyBorder="1" applyAlignment="1">
      <alignment vertical="center"/>
    </xf>
    <xf numFmtId="0" fontId="0" fillId="0" borderId="15" xfId="0" applyFont="1" applyFill="1" applyBorder="1" applyAlignment="1">
      <alignment horizontal="center" vertical="top"/>
    </xf>
    <xf numFmtId="0" fontId="0" fillId="0" borderId="15" xfId="0" applyFont="1" applyFill="1" applyBorder="1" applyAlignment="1" quotePrefix="1">
      <alignment horizontal="left" vertical="center" wrapText="1" indent="2"/>
    </xf>
    <xf numFmtId="183" fontId="53" fillId="0" borderId="15" xfId="49" applyNumberFormat="1" applyFont="1" applyFill="1" applyBorder="1" applyAlignment="1">
      <alignment vertical="center"/>
    </xf>
    <xf numFmtId="183" fontId="0" fillId="0" borderId="15" xfId="58" applyNumberFormat="1" applyFont="1" applyFill="1" applyBorder="1" applyAlignment="1">
      <alignment horizontal="center" vertical="center"/>
    </xf>
    <xf numFmtId="0" fontId="0" fillId="0" borderId="15" xfId="90" applyFont="1" applyFill="1" applyBorder="1" applyAlignment="1">
      <alignment vertical="center" wrapText="1"/>
      <protection/>
    </xf>
    <xf numFmtId="0" fontId="0" fillId="0" borderId="15" xfId="90" applyFont="1" applyFill="1" applyBorder="1" applyAlignment="1">
      <alignment horizontal="center" vertical="center"/>
      <protection/>
    </xf>
    <xf numFmtId="0" fontId="0" fillId="0" borderId="15" xfId="90" applyFont="1" applyFill="1" applyBorder="1" applyAlignment="1">
      <alignment vertical="center"/>
      <protection/>
    </xf>
    <xf numFmtId="0" fontId="0" fillId="0" borderId="15" xfId="90" applyFont="1" applyFill="1" applyBorder="1" applyAlignment="1" quotePrefix="1">
      <alignment vertical="center" wrapText="1"/>
      <protection/>
    </xf>
    <xf numFmtId="0" fontId="0" fillId="0" borderId="15" xfId="90" applyFont="1" applyFill="1" applyBorder="1" applyAlignment="1">
      <alignment horizontal="center" vertical="center" wrapText="1"/>
      <protection/>
    </xf>
    <xf numFmtId="0" fontId="0" fillId="0" borderId="15" xfId="90" applyFont="1" applyFill="1" applyBorder="1" applyAlignment="1" quotePrefix="1">
      <alignment horizontal="left" vertical="center"/>
      <protection/>
    </xf>
    <xf numFmtId="0" fontId="53" fillId="0" borderId="15" xfId="0" applyFont="1" applyFill="1" applyBorder="1" applyAlignment="1">
      <alignment horizontal="center" vertical="center" wrapText="1"/>
    </xf>
    <xf numFmtId="0" fontId="53" fillId="0" borderId="15" xfId="0" applyFont="1" applyFill="1" applyBorder="1" applyAlignment="1">
      <alignment vertical="center"/>
    </xf>
    <xf numFmtId="2" fontId="53" fillId="0" borderId="15" xfId="0" applyNumberFormat="1" applyFont="1" applyFill="1" applyBorder="1" applyAlignment="1">
      <alignment vertical="center"/>
    </xf>
    <xf numFmtId="4" fontId="53" fillId="0" borderId="15" xfId="0" applyNumberFormat="1" applyFont="1" applyFill="1" applyBorder="1" applyAlignment="1">
      <alignment vertical="center"/>
    </xf>
    <xf numFmtId="0" fontId="53" fillId="0" borderId="15" xfId="0" applyFont="1" applyFill="1" applyBorder="1" applyAlignment="1">
      <alignment horizontal="right" vertical="center"/>
    </xf>
    <xf numFmtId="4" fontId="53" fillId="0" borderId="15" xfId="0" applyNumberFormat="1" applyFont="1" applyFill="1" applyBorder="1" applyAlignment="1">
      <alignment horizontal="right" vertical="center"/>
    </xf>
    <xf numFmtId="0" fontId="0" fillId="0" borderId="15" xfId="0" applyFont="1" applyFill="1" applyBorder="1" applyAlignment="1" quotePrefix="1">
      <alignment vertical="center" wrapText="1"/>
    </xf>
    <xf numFmtId="0" fontId="53"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left" vertical="center" wrapText="1" indent="1"/>
    </xf>
    <xf numFmtId="200" fontId="53" fillId="0" borderId="15" xfId="49" applyNumberFormat="1" applyFont="1" applyFill="1" applyBorder="1" applyAlignment="1">
      <alignment vertical="center"/>
    </xf>
    <xf numFmtId="200" fontId="0" fillId="0" borderId="15" xfId="58" applyNumberFormat="1" applyFont="1" applyFill="1" applyBorder="1" applyAlignment="1">
      <alignment horizontal="center" vertical="center"/>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55" fillId="0" borderId="15"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left" vertical="center" wrapText="1"/>
    </xf>
    <xf numFmtId="181" fontId="2" fillId="0" borderId="15" xfId="0" applyNumberFormat="1" applyFont="1" applyFill="1" applyBorder="1" applyAlignment="1">
      <alignment vertical="center"/>
    </xf>
    <xf numFmtId="0" fontId="2" fillId="0" borderId="15" xfId="0" applyFont="1" applyFill="1" applyBorder="1" applyAlignment="1">
      <alignment vertical="center" wrapText="1"/>
    </xf>
    <xf numFmtId="0" fontId="15" fillId="0" borderId="15" xfId="0" applyFont="1" applyFill="1" applyBorder="1" applyAlignment="1">
      <alignment horizontal="center" vertical="center"/>
    </xf>
    <xf numFmtId="0" fontId="54" fillId="0" borderId="15" xfId="0" applyFont="1" applyFill="1" applyBorder="1" applyAlignment="1">
      <alignment vertical="center"/>
    </xf>
    <xf numFmtId="2" fontId="54" fillId="0" borderId="15" xfId="0" applyNumberFormat="1" applyFont="1" applyFill="1" applyBorder="1" applyAlignment="1">
      <alignment horizontal="right" vertical="center"/>
    </xf>
    <xf numFmtId="0" fontId="0" fillId="0" borderId="15" xfId="0" applyFont="1" applyFill="1" applyBorder="1" applyAlignment="1">
      <alignment horizontal="center"/>
    </xf>
    <xf numFmtId="2" fontId="53" fillId="0" borderId="15" xfId="0" applyNumberFormat="1" applyFont="1" applyFill="1" applyBorder="1" applyAlignment="1">
      <alignment horizontal="right" vertical="center"/>
    </xf>
    <xf numFmtId="0" fontId="3" fillId="0" borderId="15" xfId="0" applyFont="1" applyFill="1" applyBorder="1" applyAlignment="1">
      <alignment horizontal="center"/>
    </xf>
    <xf numFmtId="0" fontId="13" fillId="0" borderId="15" xfId="0" applyFont="1" applyFill="1" applyBorder="1" applyAlignment="1">
      <alignment horizontal="center" vertical="center"/>
    </xf>
    <xf numFmtId="3" fontId="53" fillId="0" borderId="15" xfId="0" applyNumberFormat="1" applyFont="1" applyFill="1" applyBorder="1" applyAlignment="1">
      <alignment vertical="center"/>
    </xf>
    <xf numFmtId="0" fontId="2" fillId="0" borderId="15" xfId="0" applyFont="1" applyFill="1" applyBorder="1" applyAlignment="1">
      <alignment horizontal="center" vertical="top"/>
    </xf>
    <xf numFmtId="183" fontId="2" fillId="0" borderId="15" xfId="0" applyNumberFormat="1" applyFont="1" applyFill="1" applyBorder="1" applyAlignment="1">
      <alignment vertical="center"/>
    </xf>
    <xf numFmtId="183" fontId="0" fillId="0" borderId="15" xfId="49" applyNumberFormat="1" applyFont="1" applyFill="1" applyBorder="1" applyAlignment="1">
      <alignment horizontal="center" vertical="center"/>
    </xf>
    <xf numFmtId="183" fontId="0" fillId="0" borderId="15" xfId="49" applyNumberFormat="1" applyFont="1" applyFill="1" applyBorder="1" applyAlignment="1">
      <alignment vertical="center"/>
    </xf>
    <xf numFmtId="3" fontId="54" fillId="0" borderId="15" xfId="0" applyNumberFormat="1" applyFont="1" applyFill="1" applyBorder="1" applyAlignment="1">
      <alignment vertical="center"/>
    </xf>
    <xf numFmtId="3" fontId="54" fillId="0" borderId="15" xfId="0" applyNumberFormat="1" applyFont="1" applyFill="1" applyBorder="1" applyAlignment="1">
      <alignment horizontal="right" vertical="center"/>
    </xf>
    <xf numFmtId="3" fontId="54" fillId="0" borderId="15" xfId="95" applyNumberFormat="1" applyFont="1" applyFill="1" applyBorder="1" applyAlignment="1">
      <alignment horizontal="right" vertical="center"/>
      <protection/>
    </xf>
    <xf numFmtId="3" fontId="53" fillId="0" borderId="15" xfId="0" applyNumberFormat="1" applyFont="1" applyFill="1" applyBorder="1" applyAlignment="1">
      <alignment horizontal="right" vertical="center"/>
    </xf>
    <xf numFmtId="3" fontId="53" fillId="0" borderId="15" xfId="95" applyNumberFormat="1" applyFont="1" applyFill="1" applyBorder="1" applyAlignment="1">
      <alignment horizontal="right"/>
      <protection/>
    </xf>
    <xf numFmtId="3" fontId="58" fillId="0" borderId="15" xfId="0" applyNumberFormat="1" applyFont="1" applyFill="1" applyBorder="1" applyAlignment="1">
      <alignment/>
    </xf>
    <xf numFmtId="183" fontId="2" fillId="0" borderId="15" xfId="58" applyNumberFormat="1" applyFont="1" applyFill="1" applyBorder="1" applyAlignment="1">
      <alignment horizontal="center" vertical="center"/>
    </xf>
    <xf numFmtId="193" fontId="53" fillId="0" borderId="15" xfId="0" applyNumberFormat="1" applyFont="1" applyFill="1" applyBorder="1" applyAlignment="1">
      <alignment horizontal="right" vertical="center"/>
    </xf>
    <xf numFmtId="194" fontId="53" fillId="0" borderId="15" xfId="0" applyNumberFormat="1" applyFont="1" applyFill="1" applyBorder="1" applyAlignment="1">
      <alignment horizontal="right" vertical="center"/>
    </xf>
    <xf numFmtId="183" fontId="53" fillId="0" borderId="15" xfId="49" applyNumberFormat="1" applyFont="1" applyFill="1" applyBorder="1" applyAlignment="1" quotePrefix="1">
      <alignment horizontal="right" vertical="center"/>
    </xf>
    <xf numFmtId="183" fontId="53" fillId="0" borderId="15" xfId="49" applyNumberFormat="1" applyFont="1" applyFill="1" applyBorder="1" applyAlignment="1">
      <alignment horizontal="right" vertical="center"/>
    </xf>
    <xf numFmtId="214" fontId="53" fillId="0" borderId="15" xfId="0" applyNumberFormat="1" applyFont="1" applyFill="1" applyBorder="1" applyAlignment="1">
      <alignment/>
    </xf>
    <xf numFmtId="214" fontId="15" fillId="0" borderId="15" xfId="0" applyNumberFormat="1" applyFont="1" applyFill="1" applyBorder="1" applyAlignment="1">
      <alignment horizontal="center"/>
    </xf>
    <xf numFmtId="183" fontId="53" fillId="0" borderId="15" xfId="49" applyNumberFormat="1" applyFont="1" applyFill="1" applyBorder="1" applyAlignment="1" quotePrefix="1">
      <alignment horizontal="right"/>
    </xf>
    <xf numFmtId="215" fontId="53" fillId="0" borderId="15" xfId="0" applyNumberFormat="1" applyFont="1" applyFill="1" applyBorder="1" applyAlignment="1">
      <alignment horizontal="center"/>
    </xf>
    <xf numFmtId="2" fontId="53" fillId="0" borderId="15" xfId="0" applyNumberFormat="1" applyFont="1" applyFill="1" applyBorder="1" applyAlignment="1">
      <alignment/>
    </xf>
    <xf numFmtId="0" fontId="53" fillId="0" borderId="15" xfId="0" applyFont="1" applyFill="1" applyBorder="1" applyAlignment="1">
      <alignment/>
    </xf>
    <xf numFmtId="0" fontId="53" fillId="0" borderId="15" xfId="0" applyFont="1" applyFill="1" applyBorder="1" applyAlignment="1">
      <alignment wrapText="1"/>
    </xf>
    <xf numFmtId="2" fontId="53" fillId="0" borderId="15" xfId="0" applyNumberFormat="1" applyFont="1" applyFill="1" applyBorder="1" applyAlignment="1">
      <alignment vertical="center" wrapText="1"/>
    </xf>
    <xf numFmtId="214" fontId="15" fillId="0" borderId="15" xfId="0" applyNumberFormat="1" applyFont="1" applyFill="1" applyBorder="1" applyAlignment="1">
      <alignment horizontal="center" vertical="center"/>
    </xf>
    <xf numFmtId="215" fontId="53" fillId="0" borderId="15" xfId="0" applyNumberFormat="1" applyFont="1" applyFill="1" applyBorder="1" applyAlignment="1">
      <alignment horizontal="center" vertical="center"/>
    </xf>
    <xf numFmtId="0" fontId="12" fillId="0" borderId="0" xfId="0" applyFont="1" applyFill="1" applyAlignment="1">
      <alignment vertical="center"/>
    </xf>
    <xf numFmtId="0" fontId="2" fillId="0" borderId="0" xfId="0" applyFont="1" applyFill="1" applyAlignment="1">
      <alignment vertical="center"/>
    </xf>
    <xf numFmtId="0" fontId="21" fillId="0" borderId="0" xfId="0" applyFont="1" applyFill="1" applyAlignment="1">
      <alignment horizontal="right" vertical="center"/>
    </xf>
    <xf numFmtId="0" fontId="0" fillId="0" borderId="0" xfId="0" applyFill="1" applyAlignment="1">
      <alignment vertical="center"/>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vertical="center"/>
    </xf>
    <xf numFmtId="183" fontId="0" fillId="0" borderId="0" xfId="0" applyNumberFormat="1" applyFont="1" applyFill="1" applyAlignment="1">
      <alignment vertical="center"/>
    </xf>
    <xf numFmtId="183" fontId="0" fillId="0" borderId="0" xfId="0" applyNumberFormat="1" applyFill="1" applyAlignment="1">
      <alignment vertical="center"/>
    </xf>
    <xf numFmtId="0" fontId="2" fillId="0" borderId="0" xfId="0" applyFont="1" applyFill="1" applyAlignment="1">
      <alignment horizontal="right" vertical="center"/>
    </xf>
    <xf numFmtId="0" fontId="4" fillId="0" borderId="0" xfId="0" applyFont="1" applyFill="1" applyAlignment="1">
      <alignment horizontal="right" vertical="center"/>
    </xf>
    <xf numFmtId="0" fontId="0" fillId="0" borderId="0" xfId="0" applyFont="1" applyFill="1" applyBorder="1" applyAlignment="1">
      <alignment vertical="center"/>
    </xf>
    <xf numFmtId="0" fontId="4" fillId="0" borderId="0" xfId="0" applyFont="1" applyFill="1" applyAlignment="1">
      <alignment vertical="center"/>
    </xf>
    <xf numFmtId="0" fontId="2" fillId="0" borderId="15" xfId="0" applyFont="1" applyFill="1" applyBorder="1" applyAlignment="1">
      <alignment horizontal="center" vertical="center" wrapText="1"/>
    </xf>
    <xf numFmtId="0" fontId="0" fillId="0" borderId="15" xfId="0" applyFont="1" applyFill="1" applyBorder="1" applyAlignment="1" quotePrefix="1">
      <alignment horizontal="center" vertical="center" wrapText="1"/>
    </xf>
    <xf numFmtId="3" fontId="0" fillId="0" borderId="15" xfId="0" applyNumberFormat="1" applyFont="1" applyFill="1" applyBorder="1" applyAlignment="1">
      <alignment horizontal="center" vertical="center" wrapText="1"/>
    </xf>
    <xf numFmtId="2" fontId="0" fillId="0" borderId="15" xfId="0" applyNumberFormat="1" applyFont="1" applyFill="1" applyBorder="1" applyAlignment="1">
      <alignment vertical="center"/>
    </xf>
    <xf numFmtId="209" fontId="3" fillId="0" borderId="15" xfId="0" applyNumberFormat="1" applyFont="1" applyFill="1" applyBorder="1" applyAlignment="1">
      <alignment vertical="center"/>
    </xf>
    <xf numFmtId="181" fontId="3" fillId="0" borderId="15" xfId="0" applyNumberFormat="1" applyFont="1" applyFill="1" applyBorder="1" applyAlignment="1">
      <alignment horizontal="center" vertical="center"/>
    </xf>
    <xf numFmtId="181" fontId="0" fillId="0" borderId="15" xfId="0" applyNumberFormat="1" applyFont="1" applyFill="1" applyBorder="1" applyAlignment="1" quotePrefix="1">
      <alignment vertical="center" wrapText="1"/>
    </xf>
    <xf numFmtId="4" fontId="0" fillId="0" borderId="15" xfId="0" applyNumberFormat="1" applyFont="1" applyFill="1" applyBorder="1" applyAlignment="1">
      <alignment horizontal="center" vertical="center"/>
    </xf>
    <xf numFmtId="193" fontId="0" fillId="0" borderId="15" xfId="0" applyNumberFormat="1" applyFont="1" applyFill="1" applyBorder="1" applyAlignment="1" quotePrefix="1">
      <alignment horizontal="right" vertical="center"/>
    </xf>
    <xf numFmtId="3" fontId="0" fillId="0" borderId="15" xfId="0" applyNumberFormat="1" applyFont="1" applyFill="1" applyBorder="1" applyAlignment="1">
      <alignment horizontal="right" vertical="center" wrapText="1"/>
    </xf>
    <xf numFmtId="3" fontId="0" fillId="0" borderId="15" xfId="0" applyNumberFormat="1" applyFont="1" applyFill="1" applyBorder="1" applyAlignment="1" quotePrefix="1">
      <alignment horizontal="right" vertical="center" wrapText="1"/>
    </xf>
    <xf numFmtId="181" fontId="0" fillId="0" borderId="15" xfId="0" applyNumberFormat="1" applyFont="1" applyFill="1" applyBorder="1" applyAlignment="1">
      <alignment vertical="center"/>
    </xf>
    <xf numFmtId="3" fontId="0" fillId="0" borderId="0" xfId="0" applyNumberFormat="1" applyFont="1" applyFill="1" applyAlignment="1">
      <alignment vertical="center"/>
    </xf>
    <xf numFmtId="1" fontId="0" fillId="0" borderId="15" xfId="0" applyNumberFormat="1" applyFont="1" applyFill="1" applyBorder="1" applyAlignment="1">
      <alignment vertical="center"/>
    </xf>
    <xf numFmtId="0" fontId="0" fillId="0" borderId="15" xfId="0" applyFont="1" applyFill="1" applyBorder="1" applyAlignment="1">
      <alignment horizontal="right" vertical="center" wrapText="1"/>
    </xf>
    <xf numFmtId="0" fontId="0" fillId="0" borderId="15" xfId="0" applyFont="1" applyFill="1" applyBorder="1" applyAlignment="1">
      <alignment horizontal="right" vertical="center"/>
    </xf>
    <xf numFmtId="0" fontId="0" fillId="0" borderId="15" xfId="0" applyFont="1" applyFill="1" applyBorder="1" applyAlignment="1" quotePrefix="1">
      <alignment horizontal="right" vertical="center"/>
    </xf>
    <xf numFmtId="1" fontId="0" fillId="0" borderId="15" xfId="0" applyNumberFormat="1" applyFont="1" applyFill="1" applyBorder="1" applyAlignment="1">
      <alignment horizontal="right" vertical="center"/>
    </xf>
    <xf numFmtId="3" fontId="0" fillId="0" borderId="15" xfId="91" applyNumberFormat="1" applyFont="1" applyFill="1" applyBorder="1" applyAlignment="1">
      <alignment horizontal="right" vertical="center"/>
      <protection/>
    </xf>
    <xf numFmtId="0" fontId="0" fillId="0" borderId="0" xfId="91" applyFont="1" applyFill="1" applyAlignment="1">
      <alignment vertical="center"/>
      <protection/>
    </xf>
    <xf numFmtId="2" fontId="0" fillId="0" borderId="15" xfId="91" applyNumberFormat="1" applyFont="1" applyFill="1" applyBorder="1" applyAlignment="1">
      <alignment horizontal="right" vertical="center"/>
      <protection/>
    </xf>
    <xf numFmtId="4" fontId="0" fillId="0" borderId="15" xfId="91" applyNumberFormat="1" applyFont="1" applyFill="1" applyBorder="1" applyAlignment="1">
      <alignment horizontal="right" vertical="center"/>
      <protection/>
    </xf>
    <xf numFmtId="2" fontId="0" fillId="0" borderId="15" xfId="0" applyNumberFormat="1" applyFont="1" applyFill="1" applyBorder="1" applyAlignment="1">
      <alignment horizontal="right" vertical="center"/>
    </xf>
    <xf numFmtId="4" fontId="0" fillId="0" borderId="15" xfId="0" applyNumberFormat="1" applyFont="1" applyFill="1" applyBorder="1" applyAlignment="1">
      <alignment horizontal="right" vertical="center"/>
    </xf>
    <xf numFmtId="193" fontId="0" fillId="0" borderId="15"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93" fontId="0" fillId="0" borderId="15" xfId="49" applyNumberFormat="1" applyFont="1" applyFill="1" applyBorder="1" applyAlignment="1">
      <alignment horizontal="right" vertical="center"/>
    </xf>
    <xf numFmtId="0" fontId="2" fillId="0" borderId="15" xfId="0" applyFont="1" applyFill="1" applyBorder="1" applyAlignment="1">
      <alignment/>
    </xf>
    <xf numFmtId="0" fontId="2" fillId="0" borderId="15" xfId="0" applyFont="1" applyFill="1" applyBorder="1" applyAlignment="1" quotePrefix="1">
      <alignment/>
    </xf>
    <xf numFmtId="0" fontId="0" fillId="0" borderId="15" xfId="0" applyFill="1" applyBorder="1" applyAlignment="1">
      <alignment/>
    </xf>
    <xf numFmtId="183" fontId="0" fillId="0" borderId="15" xfId="0" applyNumberFormat="1" applyFill="1" applyBorder="1" applyAlignment="1">
      <alignment/>
    </xf>
    <xf numFmtId="196" fontId="0" fillId="0" borderId="15" xfId="106" applyNumberFormat="1" applyFont="1" applyFill="1" applyBorder="1" applyAlignment="1">
      <alignment/>
    </xf>
    <xf numFmtId="0" fontId="0" fillId="0" borderId="15" xfId="0" applyFill="1" applyBorder="1" applyAlignment="1">
      <alignment horizontal="center"/>
    </xf>
    <xf numFmtId="183" fontId="0" fillId="0" borderId="15" xfId="49" applyNumberFormat="1" applyFont="1" applyFill="1" applyBorder="1" applyAlignment="1">
      <alignment/>
    </xf>
    <xf numFmtId="181" fontId="0" fillId="0" borderId="15" xfId="0" applyNumberFormat="1" applyFill="1" applyBorder="1" applyAlignment="1">
      <alignment/>
    </xf>
    <xf numFmtId="194" fontId="0" fillId="0" borderId="15" xfId="49" applyNumberFormat="1" applyFont="1" applyFill="1" applyBorder="1" applyAlignment="1">
      <alignment/>
    </xf>
    <xf numFmtId="3" fontId="0" fillId="0" borderId="15" xfId="49" applyNumberFormat="1" applyFont="1" applyFill="1" applyBorder="1" applyAlignment="1">
      <alignment/>
    </xf>
    <xf numFmtId="0" fontId="0" fillId="0" borderId="15" xfId="0" applyFill="1" applyBorder="1" applyAlignment="1" quotePrefix="1">
      <alignment/>
    </xf>
    <xf numFmtId="2" fontId="0" fillId="0" borderId="15" xfId="49" applyNumberFormat="1" applyFont="1" applyFill="1" applyBorder="1" applyAlignment="1">
      <alignment/>
    </xf>
    <xf numFmtId="0" fontId="0" fillId="0" borderId="15" xfId="0" applyFill="1" applyBorder="1" applyAlignment="1">
      <alignment horizontal="left" indent="2"/>
    </xf>
    <xf numFmtId="193" fontId="0" fillId="0" borderId="15" xfId="49" applyNumberFormat="1" applyFont="1" applyFill="1" applyBorder="1" applyAlignment="1">
      <alignment/>
    </xf>
    <xf numFmtId="0" fontId="0" fillId="0" borderId="15" xfId="0" applyFill="1" applyBorder="1" applyAlignment="1" quotePrefix="1">
      <alignment vertical="justify" wrapText="1"/>
    </xf>
    <xf numFmtId="0" fontId="0" fillId="0" borderId="15" xfId="0" applyFill="1" applyBorder="1" applyAlignment="1">
      <alignment horizontal="center" vertical="justify" wrapText="1"/>
    </xf>
    <xf numFmtId="0" fontId="0"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right" vertical="center" wrapText="1"/>
    </xf>
    <xf numFmtId="0" fontId="16" fillId="0" borderId="0" xfId="0" applyFont="1" applyFill="1" applyAlignment="1">
      <alignment horizontal="center" vertical="center" wrapText="1"/>
    </xf>
    <xf numFmtId="0" fontId="6" fillId="0" borderId="15" xfId="0" applyFont="1" applyFill="1" applyBorder="1" applyAlignment="1">
      <alignment vertical="center" wrapText="1"/>
    </xf>
    <xf numFmtId="3" fontId="6" fillId="0" borderId="15" xfId="49" applyNumberFormat="1" applyFont="1" applyFill="1" applyBorder="1" applyAlignment="1">
      <alignment vertical="center"/>
    </xf>
    <xf numFmtId="194" fontId="6" fillId="0" borderId="15" xfId="49" applyNumberFormat="1" applyFont="1" applyFill="1" applyBorder="1" applyAlignment="1">
      <alignment vertical="center"/>
    </xf>
    <xf numFmtId="0" fontId="48" fillId="0" borderId="15" xfId="0" applyFont="1" applyFill="1" applyBorder="1" applyAlignment="1">
      <alignment vertical="center" wrapText="1"/>
    </xf>
    <xf numFmtId="0" fontId="48" fillId="0" borderId="15" xfId="0" applyFont="1" applyFill="1" applyBorder="1" applyAlignment="1">
      <alignment horizontal="center" vertical="center"/>
    </xf>
    <xf numFmtId="196" fontId="48" fillId="0" borderId="15" xfId="106" applyNumberFormat="1" applyFont="1" applyFill="1" applyBorder="1" applyAlignment="1">
      <alignment horizontal="center" vertical="center" wrapText="1"/>
    </xf>
    <xf numFmtId="183" fontId="48" fillId="0" borderId="15" xfId="0" applyNumberFormat="1" applyFont="1" applyFill="1" applyBorder="1" applyAlignment="1">
      <alignment horizontal="center" vertical="center" wrapText="1"/>
    </xf>
    <xf numFmtId="194" fontId="48" fillId="0" borderId="15" xfId="0" applyNumberFormat="1" applyFont="1" applyFill="1" applyBorder="1" applyAlignment="1">
      <alignment vertical="center" wrapText="1"/>
    </xf>
    <xf numFmtId="0" fontId="47" fillId="0" borderId="15" xfId="0" applyFont="1" applyFill="1" applyBorder="1" applyAlignment="1" quotePrefix="1">
      <alignment vertical="center" wrapText="1"/>
    </xf>
    <xf numFmtId="183" fontId="47" fillId="0" borderId="15" xfId="0" applyNumberFormat="1" applyFont="1" applyFill="1" applyBorder="1" applyAlignment="1">
      <alignment horizontal="right" vertical="center" wrapText="1"/>
    </xf>
    <xf numFmtId="183" fontId="47" fillId="0" borderId="15" xfId="0" applyNumberFormat="1" applyFont="1" applyFill="1" applyBorder="1" applyAlignment="1">
      <alignment horizontal="center" vertical="center" wrapText="1"/>
    </xf>
    <xf numFmtId="194" fontId="47" fillId="0" borderId="15" xfId="49" applyNumberFormat="1" applyFont="1" applyFill="1" applyBorder="1" applyAlignment="1">
      <alignment vertical="center"/>
    </xf>
    <xf numFmtId="171" fontId="6" fillId="0" borderId="15" xfId="49" applyNumberFormat="1" applyFont="1" applyFill="1" applyBorder="1" applyAlignment="1">
      <alignment vertical="center"/>
    </xf>
    <xf numFmtId="0" fontId="49" fillId="0" borderId="15" xfId="0" applyFont="1" applyFill="1" applyBorder="1" applyAlignment="1">
      <alignment horizontal="center" vertical="center"/>
    </xf>
    <xf numFmtId="193" fontId="49" fillId="0" borderId="15" xfId="0" applyNumberFormat="1" applyFont="1" applyFill="1" applyBorder="1" applyAlignment="1">
      <alignment vertical="center"/>
    </xf>
    <xf numFmtId="3" fontId="49" fillId="0" borderId="15" xfId="106" applyNumberFormat="1" applyFont="1" applyFill="1" applyBorder="1" applyAlignment="1">
      <alignment vertical="center"/>
    </xf>
    <xf numFmtId="3" fontId="49" fillId="0" borderId="15" xfId="0" applyNumberFormat="1" applyFont="1" applyFill="1" applyBorder="1" applyAlignment="1">
      <alignment vertical="center"/>
    </xf>
    <xf numFmtId="0" fontId="49" fillId="0" borderId="15" xfId="0" applyFont="1" applyFill="1" applyBorder="1" applyAlignment="1">
      <alignment vertical="center"/>
    </xf>
    <xf numFmtId="0" fontId="21" fillId="0" borderId="0" xfId="0" applyFont="1" applyFill="1" applyAlignment="1">
      <alignment vertical="center"/>
    </xf>
    <xf numFmtId="3" fontId="47" fillId="0" borderId="15" xfId="49" applyNumberFormat="1" applyFont="1" applyFill="1" applyBorder="1" applyAlignment="1">
      <alignment vertical="center"/>
    </xf>
    <xf numFmtId="183" fontId="6" fillId="0" borderId="15" xfId="49" applyNumberFormat="1" applyFont="1" applyFill="1" applyBorder="1" applyAlignment="1">
      <alignment vertical="center"/>
    </xf>
    <xf numFmtId="183" fontId="48" fillId="0" borderId="15" xfId="0" applyNumberFormat="1" applyFont="1" applyFill="1" applyBorder="1" applyAlignment="1">
      <alignment horizontal="center" vertical="center"/>
    </xf>
    <xf numFmtId="183" fontId="6" fillId="0" borderId="15" xfId="0" applyNumberFormat="1" applyFont="1" applyFill="1" applyBorder="1" applyAlignment="1">
      <alignment vertical="center"/>
    </xf>
    <xf numFmtId="0" fontId="6" fillId="0" borderId="15" xfId="0" applyFont="1" applyFill="1" applyBorder="1" applyAlignment="1">
      <alignment vertical="center"/>
    </xf>
    <xf numFmtId="183" fontId="47" fillId="0" borderId="15" xfId="49" applyNumberFormat="1" applyFont="1" applyFill="1" applyBorder="1" applyAlignment="1">
      <alignment vertical="center"/>
    </xf>
    <xf numFmtId="0" fontId="6" fillId="0" borderId="15" xfId="0" applyFont="1" applyFill="1" applyBorder="1" applyAlignment="1" quotePrefix="1">
      <alignment vertical="center" wrapText="1"/>
    </xf>
    <xf numFmtId="197" fontId="6" fillId="0" borderId="15" xfId="0" applyNumberFormat="1" applyFont="1" applyFill="1" applyBorder="1" applyAlignment="1">
      <alignment horizontal="right" vertical="center"/>
    </xf>
    <xf numFmtId="195" fontId="6" fillId="0" borderId="15" xfId="0" applyNumberFormat="1" applyFont="1" applyFill="1" applyBorder="1" applyAlignment="1">
      <alignment horizontal="center" vertical="center"/>
    </xf>
    <xf numFmtId="195" fontId="6" fillId="0" borderId="15" xfId="0" applyNumberFormat="1" applyFont="1" applyFill="1" applyBorder="1" applyAlignment="1">
      <alignment vertical="center"/>
    </xf>
    <xf numFmtId="195" fontId="47" fillId="0" borderId="15" xfId="0" applyNumberFormat="1" applyFont="1" applyFill="1" applyBorder="1" applyAlignment="1">
      <alignment vertical="center"/>
    </xf>
    <xf numFmtId="195" fontId="47" fillId="0" borderId="15" xfId="0" applyNumberFormat="1" applyFont="1" applyFill="1" applyBorder="1" applyAlignment="1">
      <alignment horizontal="center" vertical="center"/>
    </xf>
    <xf numFmtId="0" fontId="47" fillId="0" borderId="15" xfId="0" applyFont="1" applyFill="1" applyBorder="1" applyAlignment="1">
      <alignment vertical="center"/>
    </xf>
    <xf numFmtId="193" fontId="6" fillId="0" borderId="15" xfId="0" applyNumberFormat="1" applyFont="1" applyFill="1" applyBorder="1" applyAlignment="1">
      <alignment vertical="center"/>
    </xf>
    <xf numFmtId="193" fontId="47" fillId="0" borderId="15" xfId="0" applyNumberFormat="1" applyFont="1" applyFill="1" applyBorder="1" applyAlignment="1">
      <alignment vertical="center"/>
    </xf>
    <xf numFmtId="1" fontId="47" fillId="0" borderId="15" xfId="0" applyNumberFormat="1" applyFont="1" applyFill="1" applyBorder="1" applyAlignment="1">
      <alignment horizontal="right" vertical="center"/>
    </xf>
    <xf numFmtId="183" fontId="47" fillId="0" borderId="15" xfId="49" applyNumberFormat="1" applyFont="1" applyFill="1" applyBorder="1" applyAlignment="1">
      <alignment horizontal="right" vertical="center"/>
    </xf>
    <xf numFmtId="3" fontId="47" fillId="0" borderId="15" xfId="0" applyNumberFormat="1" applyFont="1" applyFill="1" applyBorder="1" applyAlignment="1">
      <alignment vertical="center"/>
    </xf>
    <xf numFmtId="3" fontId="47" fillId="0" borderId="15" xfId="0" applyNumberFormat="1" applyFont="1" applyFill="1" applyBorder="1" applyAlignment="1">
      <alignment horizontal="center" vertical="center"/>
    </xf>
    <xf numFmtId="3" fontId="6" fillId="0" borderId="15" xfId="0" applyNumberFormat="1" applyFont="1" applyFill="1" applyBorder="1" applyAlignment="1">
      <alignment vertical="center"/>
    </xf>
    <xf numFmtId="183" fontId="47" fillId="0" borderId="15" xfId="0" applyNumberFormat="1" applyFont="1" applyFill="1" applyBorder="1" applyAlignment="1">
      <alignment vertical="center"/>
    </xf>
    <xf numFmtId="0" fontId="47" fillId="0" borderId="15" xfId="0" applyFont="1" applyFill="1" applyBorder="1" applyAlignment="1">
      <alignment vertical="center" wrapText="1"/>
    </xf>
    <xf numFmtId="194" fontId="48" fillId="0" borderId="15" xfId="49" applyNumberFormat="1" applyFont="1" applyFill="1" applyBorder="1" applyAlignment="1">
      <alignment vertical="center"/>
    </xf>
    <xf numFmtId="0" fontId="16" fillId="0" borderId="0" xfId="0" applyFont="1" applyFill="1" applyAlignment="1">
      <alignment vertical="center"/>
    </xf>
    <xf numFmtId="0" fontId="48" fillId="0" borderId="15" xfId="0" applyFont="1" applyFill="1" applyBorder="1" applyAlignment="1">
      <alignment vertical="center"/>
    </xf>
    <xf numFmtId="0" fontId="47" fillId="0" borderId="15" xfId="0" applyFont="1" applyFill="1" applyBorder="1" applyAlignment="1" quotePrefix="1">
      <alignment horizontal="left" vertical="center" wrapText="1" indent="2"/>
    </xf>
    <xf numFmtId="183" fontId="14" fillId="0" borderId="0" xfId="0" applyNumberFormat="1" applyFont="1" applyFill="1" applyAlignment="1">
      <alignment vertical="center"/>
    </xf>
    <xf numFmtId="0" fontId="14" fillId="0" borderId="0" xfId="0" applyFont="1" applyFill="1" applyAlignment="1">
      <alignment horizontal="right" vertical="center"/>
    </xf>
    <xf numFmtId="181" fontId="2" fillId="0" borderId="0" xfId="0" applyNumberFormat="1" applyFont="1" applyAlignment="1">
      <alignment vertical="center"/>
    </xf>
    <xf numFmtId="0" fontId="47" fillId="0" borderId="15" xfId="0" applyFont="1" applyFill="1" applyBorder="1" applyAlignment="1">
      <alignment horizontal="center" vertical="center" wrapText="1"/>
    </xf>
    <xf numFmtId="3" fontId="53" fillId="0" borderId="15" xfId="90" applyNumberFormat="1" applyFont="1" applyFill="1" applyBorder="1" applyAlignment="1">
      <alignment horizontal="right" vertical="center" wrapText="1"/>
      <protection/>
    </xf>
    <xf numFmtId="183" fontId="47" fillId="0" borderId="15" xfId="49" applyNumberFormat="1" applyFont="1" applyFill="1" applyBorder="1" applyAlignment="1">
      <alignment horizontal="center" vertical="center"/>
    </xf>
    <xf numFmtId="183" fontId="47" fillId="0" borderId="15" xfId="0" applyNumberFormat="1" applyFont="1" applyFill="1" applyBorder="1" applyAlignment="1">
      <alignment horizontal="center" vertical="center"/>
    </xf>
    <xf numFmtId="183" fontId="53" fillId="0" borderId="15" xfId="0" applyNumberFormat="1" applyFont="1" applyFill="1" applyBorder="1" applyAlignment="1">
      <alignment vertical="center"/>
    </xf>
    <xf numFmtId="183" fontId="47" fillId="0" borderId="15" xfId="0" applyNumberFormat="1" applyFont="1" applyFill="1" applyBorder="1" applyAlignment="1">
      <alignment vertical="center" wrapText="1"/>
    </xf>
    <xf numFmtId="193" fontId="14" fillId="0" borderId="15" xfId="0" applyNumberFormat="1" applyFont="1" applyFill="1" applyBorder="1" applyAlignment="1">
      <alignment/>
    </xf>
    <xf numFmtId="193" fontId="54" fillId="0" borderId="15" xfId="0" applyNumberFormat="1" applyFont="1" applyFill="1" applyBorder="1" applyAlignment="1">
      <alignment vertical="center"/>
    </xf>
    <xf numFmtId="193" fontId="53" fillId="0" borderId="15" xfId="0" applyNumberFormat="1" applyFont="1" applyFill="1" applyBorder="1" applyAlignment="1">
      <alignment vertical="center"/>
    </xf>
    <xf numFmtId="3" fontId="54" fillId="4" borderId="15" xfId="0" applyNumberFormat="1" applyFont="1" applyFill="1" applyBorder="1" applyAlignment="1">
      <alignment horizontal="center"/>
    </xf>
    <xf numFmtId="3" fontId="65" fillId="4" borderId="15" xfId="0" applyNumberFormat="1" applyFont="1" applyFill="1" applyBorder="1" applyAlignment="1">
      <alignment horizontal="right" wrapText="1"/>
    </xf>
    <xf numFmtId="0" fontId="54" fillId="4" borderId="15" xfId="0" applyFont="1" applyFill="1" applyBorder="1" applyAlignment="1">
      <alignment horizontal="right"/>
    </xf>
    <xf numFmtId="0" fontId="54" fillId="4" borderId="15" xfId="0" applyFont="1" applyFill="1" applyBorder="1" applyAlignment="1">
      <alignment horizontal="right"/>
    </xf>
    <xf numFmtId="0" fontId="53" fillId="0" borderId="15" xfId="0" applyFont="1" applyBorder="1" applyAlignment="1">
      <alignment horizontal="right"/>
    </xf>
    <xf numFmtId="0" fontId="53" fillId="0" borderId="15" xfId="0" applyFont="1" applyBorder="1" applyAlignment="1">
      <alignment horizontal="left" wrapText="1"/>
    </xf>
    <xf numFmtId="0" fontId="53" fillId="0" borderId="15" xfId="0" applyFont="1" applyBorder="1" applyAlignment="1">
      <alignment horizontal="center"/>
    </xf>
    <xf numFmtId="3" fontId="53" fillId="0" borderId="15" xfId="101" applyNumberFormat="1" applyFont="1" applyBorder="1" applyAlignment="1">
      <alignment horizontal="right"/>
      <protection/>
    </xf>
    <xf numFmtId="0" fontId="53" fillId="0" borderId="15" xfId="0" applyFont="1" applyBorder="1" applyAlignment="1">
      <alignment horizontal="center"/>
    </xf>
    <xf numFmtId="0" fontId="58" fillId="0" borderId="15" xfId="0" applyFont="1" applyBorder="1" applyAlignment="1">
      <alignment horizontal="right" vertical="center"/>
    </xf>
    <xf numFmtId="0" fontId="53" fillId="0" borderId="15" xfId="101" applyFont="1" applyBorder="1" applyAlignment="1">
      <alignment horizontal="right"/>
      <protection/>
    </xf>
    <xf numFmtId="0" fontId="53" fillId="0" borderId="15" xfId="84" applyFont="1" applyBorder="1" applyAlignment="1">
      <alignment horizontal="right"/>
      <protection/>
    </xf>
    <xf numFmtId="0" fontId="53" fillId="0" borderId="15" xfId="0" applyFont="1" applyBorder="1" applyAlignment="1">
      <alignment horizontal="left" vertical="center" wrapText="1"/>
    </xf>
    <xf numFmtId="0" fontId="54" fillId="0" borderId="15" xfId="0" applyFont="1" applyBorder="1" applyAlignment="1">
      <alignment horizontal="right"/>
    </xf>
    <xf numFmtId="3" fontId="53" fillId="0" borderId="15" xfId="0" applyNumberFormat="1" applyFont="1" applyBorder="1" applyAlignment="1">
      <alignment horizontal="left" vertical="center" wrapText="1"/>
    </xf>
    <xf numFmtId="0" fontId="53" fillId="0" borderId="15" xfId="0" applyFont="1" applyBorder="1" applyAlignment="1">
      <alignment horizontal="right"/>
    </xf>
    <xf numFmtId="215" fontId="58" fillId="0" borderId="15" xfId="106" applyNumberFormat="1" applyFont="1" applyBorder="1" applyAlignment="1">
      <alignment horizontal="right" vertical="center"/>
    </xf>
    <xf numFmtId="3" fontId="53" fillId="0" borderId="15" xfId="84" applyNumberFormat="1" applyFont="1" applyBorder="1" applyAlignment="1">
      <alignment horizontal="right"/>
      <protection/>
    </xf>
    <xf numFmtId="0" fontId="58" fillId="0" borderId="15" xfId="0" applyFont="1" applyBorder="1" applyAlignment="1">
      <alignment horizontal="right"/>
    </xf>
    <xf numFmtId="0" fontId="67" fillId="0" borderId="15" xfId="0" applyFont="1" applyBorder="1" applyAlignment="1">
      <alignment horizontal="right"/>
    </xf>
    <xf numFmtId="0" fontId="54" fillId="4" borderId="15" xfId="0" applyFont="1" applyFill="1" applyBorder="1" applyAlignment="1">
      <alignment horizontal="center"/>
    </xf>
    <xf numFmtId="0" fontId="54" fillId="4" borderId="15" xfId="0" applyFont="1" applyFill="1" applyBorder="1" applyAlignment="1">
      <alignment wrapText="1"/>
    </xf>
    <xf numFmtId="0" fontId="53" fillId="4" borderId="15" xfId="0" applyFont="1" applyFill="1" applyBorder="1" applyAlignment="1">
      <alignment/>
    </xf>
    <xf numFmtId="0" fontId="53" fillId="4" borderId="15" xfId="0" applyFont="1" applyFill="1" applyBorder="1" applyAlignment="1">
      <alignment/>
    </xf>
    <xf numFmtId="0" fontId="53" fillId="4" borderId="15" xfId="0" applyFont="1" applyFill="1" applyBorder="1" applyAlignment="1">
      <alignment horizontal="center"/>
    </xf>
    <xf numFmtId="0" fontId="68" fillId="0" borderId="15" xfId="0" applyFont="1" applyBorder="1" applyAlignment="1">
      <alignment horizontal="center"/>
    </xf>
    <xf numFmtId="0" fontId="53" fillId="0" borderId="15" xfId="0" applyFont="1" applyBorder="1" applyAlignment="1">
      <alignment horizontal="right" vertical="center"/>
    </xf>
    <xf numFmtId="217" fontId="68" fillId="0" borderId="15" xfId="0" applyNumberFormat="1" applyFont="1" applyBorder="1" applyAlignment="1">
      <alignment horizontal="right"/>
    </xf>
    <xf numFmtId="214" fontId="53" fillId="0" borderId="15" xfId="0" applyNumberFormat="1" applyFont="1" applyBorder="1" applyAlignment="1">
      <alignment horizontal="center"/>
    </xf>
    <xf numFmtId="217" fontId="68" fillId="0" borderId="15" xfId="0" applyNumberFormat="1" applyFont="1" applyBorder="1" applyAlignment="1">
      <alignment horizontal="center"/>
    </xf>
    <xf numFmtId="0" fontId="53" fillId="0" borderId="15" xfId="0" applyFont="1" applyBorder="1" applyAlignment="1">
      <alignment vertical="center" wrapText="1"/>
    </xf>
    <xf numFmtId="218" fontId="53" fillId="0" borderId="15" xfId="0" applyNumberFormat="1" applyFont="1" applyBorder="1" applyAlignment="1">
      <alignment horizontal="center" wrapText="1"/>
    </xf>
    <xf numFmtId="0" fontId="66" fillId="0" borderId="15" xfId="0" applyFont="1" applyBorder="1" applyAlignment="1">
      <alignment/>
    </xf>
    <xf numFmtId="215" fontId="53" fillId="0" borderId="15" xfId="0" applyNumberFormat="1" applyFont="1" applyBorder="1" applyAlignment="1">
      <alignment horizontal="center"/>
    </xf>
    <xf numFmtId="215" fontId="68" fillId="0" borderId="15" xfId="0" applyNumberFormat="1" applyFont="1" applyBorder="1" applyAlignment="1">
      <alignment horizontal="right"/>
    </xf>
    <xf numFmtId="0" fontId="54" fillId="4" borderId="15" xfId="0" applyFont="1" applyFill="1" applyBorder="1" applyAlignment="1">
      <alignment horizontal="center"/>
    </xf>
    <xf numFmtId="0" fontId="65" fillId="4" borderId="15" xfId="0" applyFont="1" applyFill="1" applyBorder="1" applyAlignment="1">
      <alignment wrapText="1"/>
    </xf>
    <xf numFmtId="219" fontId="58" fillId="0" borderId="15" xfId="0" applyNumberFormat="1" applyFont="1" applyBorder="1" applyAlignment="1">
      <alignment horizontal="right" vertical="center"/>
    </xf>
    <xf numFmtId="0" fontId="53" fillId="0" borderId="15" xfId="0" applyFont="1" applyBorder="1" applyAlignment="1">
      <alignment/>
    </xf>
    <xf numFmtId="0" fontId="53" fillId="0" borderId="15" xfId="0" applyFont="1" applyFill="1" applyBorder="1" applyAlignment="1">
      <alignment horizontal="left" vertical="center" wrapText="1"/>
    </xf>
    <xf numFmtId="220" fontId="58" fillId="0" borderId="15" xfId="0" applyNumberFormat="1" applyFont="1" applyBorder="1" applyAlignment="1">
      <alignment horizontal="right" vertical="center"/>
    </xf>
    <xf numFmtId="220" fontId="58" fillId="0" borderId="15" xfId="0" applyNumberFormat="1" applyFont="1" applyBorder="1" applyAlignment="1">
      <alignment horizontal="center" vertical="center"/>
    </xf>
    <xf numFmtId="0" fontId="58" fillId="0" borderId="15" xfId="0" applyFont="1" applyBorder="1" applyAlignment="1">
      <alignment horizontal="center"/>
    </xf>
    <xf numFmtId="0" fontId="67" fillId="0" borderId="15" xfId="0" applyFont="1" applyBorder="1" applyAlignment="1">
      <alignment horizontal="center"/>
    </xf>
    <xf numFmtId="0" fontId="58" fillId="0" borderId="15" xfId="0" applyFont="1" applyBorder="1" applyAlignment="1">
      <alignment horizontal="center"/>
    </xf>
    <xf numFmtId="0" fontId="58" fillId="0" borderId="15" xfId="0" applyFont="1" applyBorder="1" applyAlignment="1">
      <alignment wrapText="1"/>
    </xf>
    <xf numFmtId="0" fontId="58" fillId="0" borderId="15" xfId="0" applyNumberFormat="1" applyFont="1" applyBorder="1" applyAlignment="1">
      <alignment horizontal="center"/>
    </xf>
    <xf numFmtId="0" fontId="53" fillId="4" borderId="15" xfId="0" applyFont="1" applyFill="1" applyBorder="1" applyAlignment="1">
      <alignment horizontal="center"/>
    </xf>
    <xf numFmtId="0" fontId="53" fillId="0" borderId="15" xfId="0" applyFont="1" applyBorder="1" applyAlignment="1">
      <alignment wrapText="1"/>
    </xf>
    <xf numFmtId="0" fontId="53" fillId="0" borderId="15" xfId="0" applyFont="1" applyBorder="1" applyAlignment="1">
      <alignment/>
    </xf>
    <xf numFmtId="0" fontId="53" fillId="0" borderId="15" xfId="0" applyFont="1" applyFill="1" applyBorder="1" applyAlignment="1" quotePrefix="1">
      <alignment horizontal="center"/>
    </xf>
    <xf numFmtId="199" fontId="53" fillId="0" borderId="15" xfId="0" applyNumberFormat="1" applyFont="1" applyFill="1" applyBorder="1" applyAlignment="1">
      <alignment horizontal="right"/>
    </xf>
    <xf numFmtId="199" fontId="53" fillId="0" borderId="15" xfId="0" applyNumberFormat="1" applyFont="1" applyFill="1" applyBorder="1" applyAlignment="1">
      <alignment horizontal="center"/>
    </xf>
    <xf numFmtId="0" fontId="53" fillId="0" borderId="15" xfId="0" applyFont="1" applyFill="1" applyBorder="1" applyAlignment="1">
      <alignment horizontal="center"/>
    </xf>
    <xf numFmtId="3" fontId="53" fillId="0" borderId="15" xfId="0" applyNumberFormat="1" applyFont="1" applyFill="1" applyBorder="1" applyAlignment="1">
      <alignment horizontal="right"/>
    </xf>
    <xf numFmtId="3" fontId="53" fillId="0" borderId="15" xfId="0" applyNumberFormat="1" applyFont="1" applyFill="1" applyBorder="1" applyAlignment="1">
      <alignment horizontal="center"/>
    </xf>
    <xf numFmtId="0" fontId="53" fillId="32" borderId="15" xfId="102" applyFont="1" applyFill="1" applyBorder="1" applyAlignment="1">
      <alignment wrapText="1"/>
      <protection/>
    </xf>
    <xf numFmtId="193" fontId="53" fillId="0" borderId="15" xfId="0" applyNumberFormat="1" applyFont="1" applyBorder="1" applyAlignment="1">
      <alignment horizontal="center"/>
    </xf>
    <xf numFmtId="3" fontId="53" fillId="0" borderId="15" xfId="0" applyNumberFormat="1" applyFont="1" applyBorder="1" applyAlignment="1">
      <alignment horizontal="center"/>
    </xf>
    <xf numFmtId="217" fontId="53" fillId="0" borderId="15" xfId="0" applyNumberFormat="1" applyFont="1" applyBorder="1" applyAlignment="1">
      <alignment horizontal="right"/>
    </xf>
    <xf numFmtId="0" fontId="53" fillId="32" borderId="15" xfId="102" applyFont="1" applyFill="1" applyBorder="1" applyAlignment="1">
      <alignment vertical="center" wrapText="1"/>
      <protection/>
    </xf>
    <xf numFmtId="0" fontId="53" fillId="32" borderId="15" xfId="102" applyFont="1" applyFill="1" applyBorder="1" applyAlignment="1">
      <alignment horizontal="center"/>
      <protection/>
    </xf>
    <xf numFmtId="0" fontId="66" fillId="0" borderId="15" xfId="0" applyFont="1" applyBorder="1" applyAlignment="1">
      <alignment horizontal="center"/>
    </xf>
    <xf numFmtId="3" fontId="53" fillId="0" borderId="15" xfId="0" applyNumberFormat="1" applyFont="1" applyFill="1" applyBorder="1" applyAlignment="1">
      <alignment horizontal="center" vertical="center"/>
    </xf>
    <xf numFmtId="193" fontId="53" fillId="0" borderId="15" xfId="0" applyNumberFormat="1" applyFont="1" applyFill="1" applyBorder="1" applyAlignment="1">
      <alignment horizontal="center"/>
    </xf>
    <xf numFmtId="215" fontId="53" fillId="32" borderId="15" xfId="0" applyNumberFormat="1" applyFont="1" applyFill="1" applyBorder="1" applyAlignment="1">
      <alignment horizontal="center"/>
    </xf>
    <xf numFmtId="0" fontId="53" fillId="0" borderId="15" xfId="0" applyFont="1" applyBorder="1" applyAlignment="1">
      <alignment horizontal="center" wrapText="1"/>
    </xf>
    <xf numFmtId="0" fontId="53" fillId="32" borderId="15" xfId="102" applyFont="1" applyFill="1" applyBorder="1" applyAlignment="1">
      <alignment horizontal="center" vertical="center" wrapText="1"/>
      <protection/>
    </xf>
    <xf numFmtId="0" fontId="53" fillId="32" borderId="15" xfId="102" applyFont="1" applyFill="1" applyBorder="1" applyAlignment="1">
      <alignment horizontal="right"/>
      <protection/>
    </xf>
    <xf numFmtId="0" fontId="53" fillId="32" borderId="15" xfId="0" applyFont="1" applyFill="1" applyBorder="1" applyAlignment="1">
      <alignment horizontal="right" wrapText="1"/>
    </xf>
    <xf numFmtId="0" fontId="58" fillId="0" borderId="15" xfId="0" applyFont="1" applyBorder="1" applyAlignment="1">
      <alignment horizontal="center" wrapText="1"/>
    </xf>
    <xf numFmtId="3" fontId="53" fillId="0" borderId="15" xfId="0" applyNumberFormat="1" applyFont="1" applyBorder="1" applyAlignment="1">
      <alignment horizontal="right"/>
    </xf>
    <xf numFmtId="0" fontId="54" fillId="4" borderId="15" xfId="0" applyFont="1" applyFill="1" applyBorder="1" applyAlignment="1">
      <alignment vertical="center" wrapText="1"/>
    </xf>
    <xf numFmtId="0" fontId="66" fillId="4" borderId="15" xfId="0" applyFont="1" applyFill="1" applyBorder="1" applyAlignment="1">
      <alignment/>
    </xf>
    <xf numFmtId="0" fontId="66" fillId="4" borderId="15" xfId="0" applyFont="1" applyFill="1" applyBorder="1" applyAlignment="1">
      <alignment horizontal="center"/>
    </xf>
    <xf numFmtId="0" fontId="53" fillId="0" borderId="15" xfId="0" applyNumberFormat="1" applyFont="1" applyFill="1" applyBorder="1" applyAlignment="1">
      <alignment horizontal="right" vertical="center" wrapText="1"/>
    </xf>
    <xf numFmtId="0" fontId="53" fillId="32" borderId="15" xfId="102" applyFont="1" applyFill="1" applyBorder="1" applyAlignment="1">
      <alignment horizontal="right" wrapText="1"/>
      <protection/>
    </xf>
    <xf numFmtId="0" fontId="68" fillId="0" borderId="15" xfId="0" applyFont="1" applyBorder="1" applyAlignment="1">
      <alignment horizontal="right"/>
    </xf>
    <xf numFmtId="2" fontId="68" fillId="0" borderId="15" xfId="0" applyNumberFormat="1" applyFont="1" applyBorder="1" applyAlignment="1">
      <alignment horizontal="right"/>
    </xf>
    <xf numFmtId="0" fontId="38" fillId="4" borderId="15" xfId="0" applyFont="1" applyFill="1" applyBorder="1" applyAlignment="1">
      <alignment horizontal="center"/>
    </xf>
    <xf numFmtId="0" fontId="53" fillId="0" borderId="15" xfId="0" applyFont="1" applyBorder="1" applyAlignment="1">
      <alignment horizontal="justify" vertical="center" wrapText="1"/>
    </xf>
    <xf numFmtId="215" fontId="53" fillId="0" borderId="15" xfId="0" applyNumberFormat="1" applyFont="1" applyBorder="1" applyAlignment="1">
      <alignment horizontal="right" vertical="center"/>
    </xf>
    <xf numFmtId="215" fontId="53" fillId="0" borderId="15" xfId="0" applyNumberFormat="1" applyFont="1" applyBorder="1" applyAlignment="1">
      <alignment horizontal="center" vertical="center"/>
    </xf>
    <xf numFmtId="1" fontId="53" fillId="0" borderId="15" xfId="0" applyNumberFormat="1" applyFont="1" applyBorder="1" applyAlignment="1">
      <alignment horizontal="right" vertical="center"/>
    </xf>
    <xf numFmtId="3" fontId="53" fillId="32" borderId="15" xfId="102" applyNumberFormat="1" applyFont="1" applyFill="1" applyBorder="1" applyAlignment="1">
      <alignment horizontal="right"/>
      <protection/>
    </xf>
    <xf numFmtId="0" fontId="53" fillId="32" borderId="15" xfId="102" applyFont="1" applyFill="1" applyBorder="1" applyAlignment="1" quotePrefix="1">
      <alignment horizontal="right" wrapText="1"/>
      <protection/>
    </xf>
    <xf numFmtId="0" fontId="53" fillId="32" borderId="15" xfId="102" applyFont="1" applyFill="1" applyBorder="1" applyAlignment="1" quotePrefix="1">
      <alignment wrapText="1"/>
      <protection/>
    </xf>
    <xf numFmtId="1" fontId="53" fillId="32" borderId="15" xfId="102" applyNumberFormat="1" applyFont="1" applyFill="1" applyBorder="1" applyAlignment="1">
      <alignment horizontal="right"/>
      <protection/>
    </xf>
    <xf numFmtId="0" fontId="53" fillId="32" borderId="15" xfId="102" applyFont="1" applyFill="1" applyBorder="1" applyAlignment="1" quotePrefix="1">
      <alignment vertical="center" wrapText="1"/>
      <protection/>
    </xf>
    <xf numFmtId="215" fontId="53" fillId="32" borderId="15" xfId="102" applyNumberFormat="1" applyFont="1" applyFill="1" applyBorder="1" applyAlignment="1">
      <alignment horizontal="right"/>
      <protection/>
    </xf>
    <xf numFmtId="217" fontId="53" fillId="0" borderId="15" xfId="0" applyNumberFormat="1" applyFont="1" applyBorder="1" applyAlignment="1">
      <alignment horizontal="center"/>
    </xf>
    <xf numFmtId="0" fontId="54" fillId="4" borderId="15" xfId="0" applyFont="1" applyFill="1" applyBorder="1" applyAlignment="1">
      <alignment horizontal="center" vertical="center"/>
    </xf>
    <xf numFmtId="0" fontId="54" fillId="4" borderId="15" xfId="0" applyFont="1" applyFill="1" applyBorder="1" applyAlignment="1">
      <alignment horizontal="left" vertical="center" wrapText="1"/>
    </xf>
    <xf numFmtId="0" fontId="68" fillId="4" borderId="15" xfId="0" applyFont="1" applyFill="1" applyBorder="1" applyAlignment="1">
      <alignment horizontal="center"/>
    </xf>
    <xf numFmtId="221" fontId="54" fillId="4" borderId="15" xfId="0" applyNumberFormat="1" applyFont="1" applyFill="1" applyBorder="1" applyAlignment="1">
      <alignment horizontal="right" vertical="center"/>
    </xf>
    <xf numFmtId="221" fontId="54" fillId="4" borderId="15" xfId="0" applyNumberFormat="1" applyFont="1" applyFill="1" applyBorder="1" applyAlignment="1">
      <alignment horizontal="center" vertical="center"/>
    </xf>
    <xf numFmtId="215" fontId="53" fillId="32" borderId="15" xfId="102" applyNumberFormat="1" applyFont="1" applyFill="1" applyBorder="1" applyAlignment="1">
      <alignment horizontal="center"/>
      <protection/>
    </xf>
    <xf numFmtId="0" fontId="53" fillId="32" borderId="15" xfId="102" applyFont="1" applyFill="1" applyBorder="1" applyAlignment="1">
      <alignment horizontal="center" vertical="center"/>
      <protection/>
    </xf>
    <xf numFmtId="0" fontId="38" fillId="4" borderId="15" xfId="0" applyFont="1" applyFill="1" applyBorder="1" applyAlignment="1">
      <alignment horizontal="center" vertical="center" wrapText="1"/>
    </xf>
    <xf numFmtId="0" fontId="59" fillId="4" borderId="15" xfId="0" applyFont="1" applyFill="1" applyBorder="1" applyAlignment="1">
      <alignment horizontal="center" vertical="center" wrapText="1"/>
    </xf>
    <xf numFmtId="0" fontId="53" fillId="4" borderId="15" xfId="0" applyFont="1" applyFill="1" applyBorder="1" applyAlignment="1">
      <alignment horizontal="right"/>
    </xf>
    <xf numFmtId="0" fontId="38" fillId="0" borderId="15" xfId="0" applyFont="1" applyBorder="1" applyAlignment="1">
      <alignment horizontal="center" vertical="center" wrapText="1"/>
    </xf>
    <xf numFmtId="0" fontId="68" fillId="0" borderId="15" xfId="0" applyFont="1" applyBorder="1" applyAlignment="1">
      <alignment horizontal="center" vertical="center" wrapText="1"/>
    </xf>
    <xf numFmtId="215" fontId="53" fillId="0" borderId="15" xfId="0" applyNumberFormat="1" applyFont="1" applyBorder="1" applyAlignment="1">
      <alignment horizontal="right"/>
    </xf>
    <xf numFmtId="0" fontId="55" fillId="4" borderId="15" xfId="0" applyFont="1" applyFill="1" applyBorder="1" applyAlignment="1">
      <alignment horizontal="center" vertical="center" wrapText="1"/>
    </xf>
    <xf numFmtId="0" fontId="58" fillId="4" borderId="15" xfId="0" applyFont="1" applyFill="1" applyBorder="1" applyAlignment="1">
      <alignment horizontal="right"/>
    </xf>
    <xf numFmtId="0" fontId="58" fillId="4" borderId="15" xfId="0" applyFont="1" applyFill="1" applyBorder="1" applyAlignment="1">
      <alignment horizontal="center"/>
    </xf>
    <xf numFmtId="193" fontId="54" fillId="33" borderId="15" xfId="0" applyNumberFormat="1" applyFont="1" applyFill="1" applyBorder="1" applyAlignment="1">
      <alignment vertical="center"/>
    </xf>
    <xf numFmtId="193" fontId="54" fillId="33" borderId="15" xfId="0" applyNumberFormat="1" applyFont="1" applyFill="1" applyBorder="1" applyAlignment="1">
      <alignment horizontal="right" vertical="center"/>
    </xf>
    <xf numFmtId="194" fontId="6" fillId="33" borderId="15" xfId="49" applyNumberFormat="1" applyFont="1" applyFill="1" applyBorder="1" applyAlignment="1">
      <alignment vertical="center"/>
    </xf>
    <xf numFmtId="3" fontId="0" fillId="33" borderId="15" xfId="0" applyNumberFormat="1" applyFont="1" applyFill="1" applyBorder="1" applyAlignment="1">
      <alignment horizontal="right" vertical="center"/>
    </xf>
    <xf numFmtId="183" fontId="12" fillId="0" borderId="0" xfId="0" applyNumberFormat="1" applyFont="1" applyFill="1" applyAlignment="1">
      <alignment vertical="center"/>
    </xf>
    <xf numFmtId="209" fontId="16" fillId="0" borderId="0" xfId="0" applyNumberFormat="1" applyFont="1" applyFill="1" applyAlignment="1">
      <alignment horizontal="center" vertical="center" wrapText="1"/>
    </xf>
    <xf numFmtId="222" fontId="14" fillId="0" borderId="0" xfId="0" applyNumberFormat="1" applyFont="1" applyFill="1" applyAlignment="1">
      <alignment vertical="center"/>
    </xf>
    <xf numFmtId="209" fontId="14" fillId="0" borderId="0" xfId="0" applyNumberFormat="1" applyFont="1" applyFill="1" applyAlignment="1">
      <alignment vertical="center"/>
    </xf>
    <xf numFmtId="209" fontId="12" fillId="0" borderId="0" xfId="0" applyNumberFormat="1" applyFont="1" applyFill="1" applyAlignment="1">
      <alignment vertical="center"/>
    </xf>
    <xf numFmtId="0" fontId="6" fillId="0" borderId="15" xfId="0" applyFont="1" applyBorder="1" applyAlignment="1">
      <alignment horizontal="center" vertical="center" wrapText="1"/>
    </xf>
    <xf numFmtId="0" fontId="47" fillId="0" borderId="15" xfId="0" applyFont="1" applyBorder="1" applyAlignment="1">
      <alignment horizontal="center" vertical="center" wrapText="1"/>
    </xf>
    <xf numFmtId="16" fontId="47" fillId="0" borderId="15" xfId="0" applyNumberFormat="1" applyFont="1" applyBorder="1" applyAlignment="1" quotePrefix="1">
      <alignment horizontal="center" vertical="center" wrapText="1"/>
    </xf>
    <xf numFmtId="0" fontId="76" fillId="0" borderId="15" xfId="0" applyFont="1" applyBorder="1" applyAlignment="1">
      <alignment horizontal="center" vertical="center" wrapText="1"/>
    </xf>
    <xf numFmtId="9" fontId="47" fillId="0" borderId="15" xfId="0" applyNumberFormat="1" applyFont="1" applyBorder="1" applyAlignment="1">
      <alignment horizontal="center" vertical="center" wrapText="1"/>
    </xf>
    <xf numFmtId="3" fontId="47" fillId="0" borderId="15" xfId="0" applyNumberFormat="1" applyFont="1" applyBorder="1" applyAlignment="1">
      <alignment horizontal="center" vertical="center" wrapText="1"/>
    </xf>
    <xf numFmtId="0" fontId="47" fillId="0" borderId="15" xfId="0" applyFont="1" applyBorder="1" applyAlignment="1">
      <alignment horizontal="left" vertical="center" wrapText="1"/>
    </xf>
    <xf numFmtId="2" fontId="47" fillId="0" borderId="15" xfId="0" applyNumberFormat="1" applyFont="1" applyBorder="1" applyAlignment="1">
      <alignment horizontal="center" vertical="center" wrapText="1"/>
    </xf>
    <xf numFmtId="0" fontId="47" fillId="0" borderId="15" xfId="0" applyFont="1" applyBorder="1" applyAlignment="1" quotePrefix="1">
      <alignment horizontal="center" vertical="center" wrapText="1"/>
    </xf>
    <xf numFmtId="181" fontId="47" fillId="0" borderId="15" xfId="0" applyNumberFormat="1" applyFont="1" applyBorder="1" applyAlignment="1">
      <alignment horizontal="center" vertical="center" wrapText="1"/>
    </xf>
    <xf numFmtId="3" fontId="47" fillId="0" borderId="15" xfId="49" applyNumberFormat="1" applyFont="1" applyBorder="1" applyAlignment="1">
      <alignment horizontal="center" vertical="center" wrapText="1"/>
    </xf>
    <xf numFmtId="4" fontId="47" fillId="0" borderId="15" xfId="49" applyNumberFormat="1" applyFont="1" applyBorder="1" applyAlignment="1">
      <alignment horizontal="center" vertical="center" wrapText="1"/>
    </xf>
    <xf numFmtId="4" fontId="47" fillId="0" borderId="15" xfId="0" applyNumberFormat="1" applyFont="1" applyBorder="1" applyAlignment="1">
      <alignment horizontal="center" vertical="center" wrapText="1"/>
    </xf>
    <xf numFmtId="193" fontId="47" fillId="0" borderId="15" xfId="0" applyNumberFormat="1" applyFont="1" applyBorder="1" applyAlignment="1">
      <alignment horizontal="center" vertical="center" wrapText="1"/>
    </xf>
    <xf numFmtId="4" fontId="52" fillId="0" borderId="15" xfId="0" applyNumberFormat="1" applyFont="1" applyBorder="1" applyAlignment="1">
      <alignment horizontal="center" vertical="center" wrapText="1"/>
    </xf>
    <xf numFmtId="3" fontId="0" fillId="0" borderId="0" xfId="0" applyNumberFormat="1" applyAlignment="1">
      <alignment/>
    </xf>
    <xf numFmtId="39" fontId="47" fillId="0" borderId="15" xfId="49" applyNumberFormat="1" applyFont="1" applyBorder="1" applyAlignment="1">
      <alignment horizontal="center" vertical="center" wrapText="1"/>
    </xf>
    <xf numFmtId="39" fontId="52" fillId="0" borderId="15" xfId="49" applyNumberFormat="1" applyFont="1" applyBorder="1" applyAlignment="1">
      <alignment horizontal="center" vertical="center" wrapText="1"/>
    </xf>
    <xf numFmtId="39" fontId="6" fillId="0" borderId="15" xfId="49" applyNumberFormat="1" applyFont="1" applyBorder="1" applyAlignment="1">
      <alignment horizontal="center" vertical="center" wrapText="1"/>
    </xf>
    <xf numFmtId="37" fontId="47" fillId="0" borderId="15" xfId="49" applyNumberFormat="1" applyFont="1" applyBorder="1" applyAlignment="1">
      <alignment horizontal="center" vertical="center" wrapText="1"/>
    </xf>
    <xf numFmtId="37" fontId="52" fillId="0" borderId="15" xfId="49" applyNumberFormat="1" applyFont="1" applyBorder="1" applyAlignment="1">
      <alignment horizontal="center" vertical="center" wrapText="1"/>
    </xf>
    <xf numFmtId="39" fontId="52" fillId="0" borderId="15" xfId="49" applyNumberFormat="1" applyFont="1" applyBorder="1" applyAlignment="1" quotePrefix="1">
      <alignment horizontal="center" vertical="center" wrapText="1"/>
    </xf>
    <xf numFmtId="39" fontId="47" fillId="0" borderId="15" xfId="49" applyNumberFormat="1" applyFont="1" applyBorder="1" applyAlignment="1" quotePrefix="1">
      <alignment horizontal="center" vertical="center" wrapText="1"/>
    </xf>
    <xf numFmtId="0" fontId="0" fillId="0" borderId="15" xfId="0" applyFont="1" applyBorder="1" applyAlignment="1">
      <alignment horizontal="center"/>
    </xf>
    <xf numFmtId="3" fontId="52" fillId="34" borderId="15" xfId="0" applyNumberFormat="1" applyFont="1" applyFill="1" applyBorder="1" applyAlignment="1">
      <alignment horizontal="center" vertical="center" wrapText="1"/>
    </xf>
    <xf numFmtId="0" fontId="52" fillId="34" borderId="15" xfId="0" applyFont="1" applyFill="1" applyBorder="1" applyAlignment="1">
      <alignment horizontal="center" vertical="center" wrapText="1"/>
    </xf>
    <xf numFmtId="183" fontId="2" fillId="0" borderId="0" xfId="0" applyNumberFormat="1" applyFont="1" applyAlignment="1">
      <alignment vertical="center"/>
    </xf>
    <xf numFmtId="0" fontId="49" fillId="0" borderId="0" xfId="0" applyFont="1" applyFill="1" applyAlignment="1">
      <alignment horizontal="right" vertical="center"/>
    </xf>
    <xf numFmtId="0" fontId="47" fillId="0" borderId="0" xfId="0" applyFont="1" applyFill="1" applyAlignment="1">
      <alignment horizontal="right" vertical="center"/>
    </xf>
    <xf numFmtId="0" fontId="47" fillId="0" borderId="0" xfId="0" applyFont="1" applyFill="1" applyAlignment="1">
      <alignment vertical="center" wrapText="1"/>
    </xf>
    <xf numFmtId="0" fontId="48" fillId="0" borderId="0" xfId="0" applyFont="1" applyFill="1" applyAlignment="1">
      <alignment horizontal="center" vertical="center" wrapText="1"/>
    </xf>
    <xf numFmtId="3" fontId="47" fillId="0" borderId="15" xfId="90" applyNumberFormat="1" applyFont="1" applyFill="1" applyBorder="1" applyAlignment="1">
      <alignment horizontal="right" vertical="center" wrapText="1"/>
      <protection/>
    </xf>
    <xf numFmtId="0" fontId="49" fillId="0" borderId="0" xfId="0" applyFont="1" applyFill="1" applyAlignment="1">
      <alignment vertical="center"/>
    </xf>
    <xf numFmtId="209" fontId="47" fillId="0" borderId="0" xfId="0" applyNumberFormat="1" applyFont="1" applyFill="1" applyAlignment="1">
      <alignment vertical="center"/>
    </xf>
    <xf numFmtId="198" fontId="47" fillId="0" borderId="0" xfId="0" applyNumberFormat="1" applyFont="1" applyFill="1" applyAlignment="1">
      <alignment vertical="center"/>
    </xf>
    <xf numFmtId="183" fontId="6" fillId="0" borderId="0" xfId="0" applyNumberFormat="1" applyFont="1" applyFill="1" applyAlignment="1">
      <alignment vertical="center"/>
    </xf>
    <xf numFmtId="4" fontId="47" fillId="0" borderId="15" xfId="0" applyNumberFormat="1" applyFont="1" applyFill="1" applyBorder="1" applyAlignment="1">
      <alignment vertical="center"/>
    </xf>
    <xf numFmtId="183" fontId="47" fillId="0" borderId="0" xfId="0" applyNumberFormat="1" applyFont="1" applyFill="1" applyAlignment="1">
      <alignment vertical="center"/>
    </xf>
    <xf numFmtId="200" fontId="47" fillId="0" borderId="0" xfId="0" applyNumberFormat="1" applyFont="1" applyFill="1" applyAlignment="1">
      <alignment vertical="center"/>
    </xf>
    <xf numFmtId="0" fontId="6" fillId="0" borderId="0" xfId="0" applyFont="1" applyAlignment="1">
      <alignment vertical="center"/>
    </xf>
    <xf numFmtId="0" fontId="47" fillId="0" borderId="0" xfId="0" applyFont="1" applyAlignment="1">
      <alignment vertical="center"/>
    </xf>
    <xf numFmtId="0" fontId="49" fillId="0" borderId="0" xfId="0" applyFont="1" applyAlignment="1">
      <alignment horizontal="right" vertical="center"/>
    </xf>
    <xf numFmtId="0" fontId="47" fillId="0" borderId="0" xfId="0" applyFont="1" applyAlignment="1">
      <alignment vertical="center" wrapText="1"/>
    </xf>
    <xf numFmtId="0" fontId="48" fillId="0" borderId="15" xfId="0" applyFont="1" applyBorder="1" applyAlignment="1">
      <alignment horizontal="center" vertical="center" wrapText="1"/>
    </xf>
    <xf numFmtId="0" fontId="48" fillId="0" borderId="0" xfId="0" applyFont="1" applyAlignment="1">
      <alignment horizontal="center" vertical="center" wrapText="1"/>
    </xf>
    <xf numFmtId="0" fontId="47" fillId="0" borderId="15" xfId="0" applyFont="1" applyBorder="1" applyAlignment="1">
      <alignment vertical="center" wrapText="1"/>
    </xf>
    <xf numFmtId="0" fontId="47" fillId="0" borderId="15" xfId="0" applyFont="1" applyBorder="1" applyAlignment="1">
      <alignment horizontal="center" vertical="center"/>
    </xf>
    <xf numFmtId="0" fontId="47" fillId="0" borderId="15" xfId="0" applyFont="1" applyBorder="1" applyAlignment="1">
      <alignment vertical="center"/>
    </xf>
    <xf numFmtId="0" fontId="47" fillId="32" borderId="15" xfId="0" applyFont="1" applyFill="1" applyBorder="1" applyAlignment="1">
      <alignment vertical="center" wrapText="1"/>
    </xf>
    <xf numFmtId="3" fontId="0" fillId="0" borderId="15" xfId="49" applyNumberFormat="1" applyFont="1" applyFill="1" applyBorder="1" applyAlignment="1">
      <alignment horizontal="center" vertical="center"/>
    </xf>
    <xf numFmtId="0" fontId="47" fillId="0" borderId="15" xfId="0" applyFont="1" applyBorder="1" applyAlignment="1">
      <alignment horizontal="right" wrapText="1"/>
    </xf>
    <xf numFmtId="193" fontId="6" fillId="0" borderId="15" xfId="0" applyNumberFormat="1" applyFont="1" applyFill="1" applyBorder="1" applyAlignment="1">
      <alignment horizontal="right" vertical="center"/>
    </xf>
    <xf numFmtId="0" fontId="54" fillId="0" borderId="15" xfId="0" applyFont="1" applyFill="1" applyBorder="1" applyAlignment="1">
      <alignment horizontal="right" vertical="center"/>
    </xf>
    <xf numFmtId="0" fontId="47" fillId="35" borderId="15" xfId="0" applyFont="1" applyFill="1" applyBorder="1" applyAlignment="1" quotePrefix="1">
      <alignment vertical="center" wrapText="1"/>
    </xf>
    <xf numFmtId="0" fontId="47" fillId="35" borderId="15" xfId="0" applyFont="1" applyFill="1" applyBorder="1" applyAlignment="1">
      <alignment horizontal="center" vertical="center"/>
    </xf>
    <xf numFmtId="3" fontId="47" fillId="35" borderId="15" xfId="49" applyNumberFormat="1" applyFont="1" applyFill="1" applyBorder="1" applyAlignment="1">
      <alignment vertical="center"/>
    </xf>
    <xf numFmtId="194" fontId="47" fillId="35" borderId="15" xfId="49" applyNumberFormat="1" applyFont="1" applyFill="1" applyBorder="1" applyAlignment="1">
      <alignment vertical="center"/>
    </xf>
    <xf numFmtId="0" fontId="6" fillId="35" borderId="15" xfId="0" applyFont="1" applyFill="1" applyBorder="1" applyAlignment="1">
      <alignment vertical="center" wrapText="1"/>
    </xf>
    <xf numFmtId="183" fontId="6" fillId="35" borderId="15" xfId="49" applyNumberFormat="1" applyFont="1" applyFill="1" applyBorder="1" applyAlignment="1">
      <alignment vertical="center"/>
    </xf>
    <xf numFmtId="3" fontId="6" fillId="35" borderId="15" xfId="0" applyNumberFormat="1" applyFont="1" applyFill="1" applyBorder="1" applyAlignment="1">
      <alignment vertical="center"/>
    </xf>
    <xf numFmtId="183" fontId="6" fillId="35" borderId="15" xfId="0" applyNumberFormat="1" applyFont="1" applyFill="1" applyBorder="1" applyAlignment="1">
      <alignment vertical="center"/>
    </xf>
    <xf numFmtId="0" fontId="48" fillId="35" borderId="15" xfId="0" applyFont="1" applyFill="1" applyBorder="1" applyAlignment="1">
      <alignment vertical="center" wrapText="1"/>
    </xf>
    <xf numFmtId="0" fontId="48" fillId="35" borderId="15" xfId="0" applyFont="1" applyFill="1" applyBorder="1" applyAlignment="1">
      <alignment horizontal="center" vertical="center"/>
    </xf>
    <xf numFmtId="193" fontId="47" fillId="35" borderId="15" xfId="0" applyNumberFormat="1" applyFont="1" applyFill="1" applyBorder="1" applyAlignment="1">
      <alignment vertical="center"/>
    </xf>
    <xf numFmtId="193" fontId="47" fillId="35" borderId="15" xfId="0" applyNumberFormat="1" applyFont="1" applyFill="1" applyBorder="1" applyAlignment="1">
      <alignment/>
    </xf>
    <xf numFmtId="183" fontId="47" fillId="35" borderId="15" xfId="49" applyNumberFormat="1" applyFont="1" applyFill="1" applyBorder="1" applyAlignment="1">
      <alignment vertical="center"/>
    </xf>
    <xf numFmtId="183" fontId="47" fillId="35" borderId="15" xfId="0" applyNumberFormat="1" applyFont="1" applyFill="1" applyBorder="1" applyAlignment="1">
      <alignment vertical="center"/>
    </xf>
    <xf numFmtId="0" fontId="52" fillId="35" borderId="15" xfId="0" applyFont="1" applyFill="1" applyBorder="1" applyAlignment="1">
      <alignment horizontal="left" vertical="center" wrapText="1"/>
    </xf>
    <xf numFmtId="0" fontId="52" fillId="35" borderId="15" xfId="0" applyFont="1" applyFill="1" applyBorder="1" applyAlignment="1">
      <alignment horizontal="center" vertical="center" wrapText="1"/>
    </xf>
    <xf numFmtId="181" fontId="52" fillId="35" borderId="15" xfId="0" applyNumberFormat="1" applyFont="1" applyFill="1" applyBorder="1" applyAlignment="1">
      <alignment horizontal="center" vertical="center" wrapText="1"/>
    </xf>
    <xf numFmtId="1" fontId="52" fillId="35" borderId="15" xfId="0" applyNumberFormat="1" applyFont="1" applyFill="1" applyBorder="1" applyAlignment="1">
      <alignment horizontal="center" vertical="center" wrapText="1"/>
    </xf>
    <xf numFmtId="196" fontId="0" fillId="35" borderId="15" xfId="106" applyNumberFormat="1" applyFont="1" applyFill="1" applyBorder="1" applyAlignment="1">
      <alignment vertical="center"/>
    </xf>
    <xf numFmtId="3" fontId="54" fillId="35" borderId="15" xfId="0" applyNumberFormat="1" applyFont="1" applyFill="1" applyBorder="1" applyAlignment="1">
      <alignment vertical="center"/>
    </xf>
    <xf numFmtId="3" fontId="54" fillId="35" borderId="15" xfId="95" applyNumberFormat="1" applyFont="1" applyFill="1" applyBorder="1" applyAlignment="1">
      <alignment horizontal="right" vertical="center"/>
      <protection/>
    </xf>
    <xf numFmtId="183" fontId="0" fillId="35" borderId="15" xfId="58" applyNumberFormat="1" applyFont="1" applyFill="1" applyBorder="1" applyAlignment="1">
      <alignment horizontal="center" vertical="center"/>
    </xf>
    <xf numFmtId="3" fontId="0" fillId="35" borderId="15" xfId="0" applyNumberFormat="1" applyFont="1" applyFill="1" applyBorder="1" applyAlignment="1">
      <alignment vertical="center"/>
    </xf>
    <xf numFmtId="0" fontId="19"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7"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center" wrapText="1"/>
    </xf>
    <xf numFmtId="0" fontId="47" fillId="0" borderId="15" xfId="0" applyFont="1" applyFill="1" applyBorder="1" applyAlignment="1">
      <alignment horizontal="center" vertical="center" wrapText="1"/>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0" fillId="0" borderId="3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2" fillId="0" borderId="0" xfId="0" applyFont="1" applyFill="1" applyAlignment="1">
      <alignment horizontal="center" vertical="center"/>
    </xf>
    <xf numFmtId="0" fontId="0" fillId="0" borderId="15" xfId="0" applyFont="1" applyFill="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justify" vertical="center" wrapText="1"/>
    </xf>
    <xf numFmtId="0" fontId="6" fillId="0" borderId="39" xfId="0" applyFont="1" applyBorder="1" applyAlignment="1">
      <alignment horizontal="justify" vertical="center" wrapText="1"/>
    </xf>
    <xf numFmtId="0" fontId="47" fillId="0" borderId="39" xfId="0" applyFont="1" applyBorder="1" applyAlignment="1">
      <alignment horizontal="justify" vertical="center" wrapText="1"/>
    </xf>
    <xf numFmtId="0" fontId="6" fillId="0" borderId="0" xfId="0" applyFont="1" applyAlignment="1">
      <alignment horizontal="center" vertical="center"/>
    </xf>
    <xf numFmtId="0" fontId="12" fillId="0" borderId="0" xfId="0" applyFont="1" applyAlignment="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 fontId="12" fillId="0" borderId="0" xfId="98" applyNumberFormat="1" applyFont="1" applyFill="1" applyBorder="1" applyAlignment="1">
      <alignment horizontal="center" vertical="center" wrapText="1"/>
      <protection/>
    </xf>
    <xf numFmtId="0" fontId="0" fillId="0" borderId="15" xfId="97" applyFont="1" applyBorder="1" applyAlignment="1">
      <alignment horizontal="center" vertical="center" wrapText="1"/>
      <protection/>
    </xf>
    <xf numFmtId="171" fontId="53" fillId="0" borderId="40" xfId="49" applyNumberFormat="1" applyFont="1" applyFill="1" applyBorder="1" applyAlignment="1">
      <alignment horizontal="center" vertical="center" wrapText="1"/>
    </xf>
    <xf numFmtId="171" fontId="53" fillId="0" borderId="39" xfId="49" applyNumberFormat="1" applyFont="1" applyFill="1" applyBorder="1" applyAlignment="1">
      <alignment horizontal="center" vertical="center" wrapText="1"/>
    </xf>
    <xf numFmtId="171" fontId="53" fillId="0" borderId="41" xfId="49" applyNumberFormat="1" applyFont="1" applyFill="1" applyBorder="1" applyAlignment="1">
      <alignment horizontal="center" vertical="center" wrapText="1"/>
    </xf>
    <xf numFmtId="171" fontId="53" fillId="0" borderId="42" xfId="49" applyNumberFormat="1" applyFont="1" applyFill="1" applyBorder="1" applyAlignment="1">
      <alignment horizontal="center" vertical="center" wrapText="1"/>
    </xf>
    <xf numFmtId="171" fontId="53" fillId="0" borderId="0" xfId="49" applyNumberFormat="1" applyFont="1" applyFill="1" applyBorder="1" applyAlignment="1">
      <alignment horizontal="center" vertical="center" wrapText="1"/>
    </xf>
    <xf numFmtId="171" fontId="53" fillId="0" borderId="43" xfId="49" applyNumberFormat="1" applyFont="1" applyFill="1" applyBorder="1" applyAlignment="1">
      <alignment horizontal="center" vertical="center" wrapText="1"/>
    </xf>
    <xf numFmtId="171" fontId="53" fillId="0" borderId="44" xfId="49" applyNumberFormat="1" applyFont="1" applyFill="1" applyBorder="1" applyAlignment="1">
      <alignment horizontal="center" vertical="center" wrapText="1"/>
    </xf>
    <xf numFmtId="171" fontId="53" fillId="0" borderId="1" xfId="49" applyNumberFormat="1" applyFont="1" applyFill="1" applyBorder="1" applyAlignment="1">
      <alignment horizontal="center" vertical="center" wrapText="1"/>
    </xf>
    <xf numFmtId="171" fontId="53" fillId="0" borderId="45" xfId="49" applyNumberFormat="1" applyFont="1" applyFill="1" applyBorder="1" applyAlignment="1">
      <alignment horizontal="center" vertical="center" wrapText="1"/>
    </xf>
    <xf numFmtId="1" fontId="23" fillId="0" borderId="0" xfId="98" applyNumberFormat="1" applyFont="1" applyFill="1" applyAlignment="1">
      <alignment horizontal="left" vertical="center" wrapText="1"/>
      <protection/>
    </xf>
    <xf numFmtId="1" fontId="14" fillId="0" borderId="0" xfId="98" applyNumberFormat="1" applyFont="1" applyFill="1" applyAlignment="1">
      <alignment horizontal="left" vertical="center" wrapText="1"/>
      <protection/>
    </xf>
    <xf numFmtId="3" fontId="14" fillId="0" borderId="15" xfId="98" applyNumberFormat="1" applyFont="1" applyFill="1" applyBorder="1" applyAlignment="1">
      <alignment horizontal="center" vertical="center" wrapText="1"/>
      <protection/>
    </xf>
    <xf numFmtId="1" fontId="22" fillId="0" borderId="0" xfId="98" applyNumberFormat="1" applyFont="1" applyFill="1" applyAlignment="1">
      <alignment vertical="center" wrapText="1"/>
      <protection/>
    </xf>
    <xf numFmtId="0" fontId="26" fillId="0" borderId="15" xfId="83" applyFont="1" applyBorder="1" applyAlignment="1">
      <alignment horizontal="center" vertical="center" wrapText="1"/>
      <protection/>
    </xf>
    <xf numFmtId="3" fontId="14" fillId="0" borderId="36" xfId="98" applyNumberFormat="1" applyFont="1" applyFill="1" applyBorder="1" applyAlignment="1">
      <alignment horizontal="center" vertical="center" wrapText="1"/>
      <protection/>
    </xf>
    <xf numFmtId="3" fontId="14" fillId="0" borderId="5" xfId="98" applyNumberFormat="1" applyFont="1" applyFill="1" applyBorder="1" applyAlignment="1">
      <alignment horizontal="center" vertical="center" wrapText="1"/>
      <protection/>
    </xf>
    <xf numFmtId="3" fontId="14" fillId="0" borderId="37" xfId="98" applyNumberFormat="1" applyFont="1" applyFill="1" applyBorder="1" applyAlignment="1">
      <alignment horizontal="center" vertical="center" wrapText="1"/>
      <protection/>
    </xf>
    <xf numFmtId="3" fontId="14" fillId="0" borderId="36" xfId="98" applyNumberFormat="1" applyFont="1" applyBorder="1" applyAlignment="1">
      <alignment horizontal="center" vertical="center" wrapText="1"/>
      <protection/>
    </xf>
    <xf numFmtId="3" fontId="14" fillId="0" borderId="5" xfId="98" applyNumberFormat="1" applyFont="1" applyBorder="1" applyAlignment="1">
      <alignment horizontal="center" vertical="center" wrapText="1"/>
      <protection/>
    </xf>
    <xf numFmtId="3" fontId="14" fillId="0" borderId="37" xfId="98" applyNumberFormat="1" applyFont="1" applyBorder="1" applyAlignment="1">
      <alignment horizontal="center" vertical="center" wrapText="1"/>
      <protection/>
    </xf>
    <xf numFmtId="3" fontId="14" fillId="0" borderId="19" xfId="98" applyNumberFormat="1" applyFont="1" applyBorder="1" applyAlignment="1">
      <alignment horizontal="center" vertical="center" wrapText="1"/>
      <protection/>
    </xf>
    <xf numFmtId="3" fontId="14" fillId="0" borderId="10" xfId="98" applyNumberFormat="1" applyFont="1" applyBorder="1" applyAlignment="1">
      <alignment horizontal="center" vertical="center" wrapText="1"/>
      <protection/>
    </xf>
    <xf numFmtId="3" fontId="14" fillId="0" borderId="38" xfId="98" applyNumberFormat="1" applyFont="1" applyBorder="1" applyAlignment="1">
      <alignment horizontal="center" vertical="center" wrapText="1"/>
      <protection/>
    </xf>
    <xf numFmtId="3" fontId="0" fillId="0" borderId="15" xfId="98" applyNumberFormat="1" applyFont="1" applyFill="1" applyBorder="1" applyAlignment="1">
      <alignment horizontal="center" vertical="center" wrapText="1"/>
      <protection/>
    </xf>
    <xf numFmtId="1" fontId="25" fillId="0" borderId="0" xfId="98" applyNumberFormat="1" applyFont="1" applyFill="1" applyAlignment="1">
      <alignment horizontal="center" vertical="center" wrapText="1"/>
      <protection/>
    </xf>
    <xf numFmtId="1" fontId="16" fillId="0" borderId="1" xfId="98" applyNumberFormat="1" applyFont="1" applyFill="1" applyBorder="1" applyAlignment="1">
      <alignment horizontal="right" vertical="center"/>
      <protection/>
    </xf>
    <xf numFmtId="3" fontId="0" fillId="0" borderId="19" xfId="98" applyNumberFormat="1" applyFont="1" applyBorder="1" applyAlignment="1">
      <alignment horizontal="center" vertical="center" wrapText="1"/>
      <protection/>
    </xf>
    <xf numFmtId="3" fontId="0" fillId="0" borderId="10" xfId="98" applyNumberFormat="1" applyFont="1" applyBorder="1" applyAlignment="1">
      <alignment horizontal="center" vertical="center" wrapText="1"/>
      <protection/>
    </xf>
    <xf numFmtId="1" fontId="0" fillId="0" borderId="0" xfId="98" applyNumberFormat="1" applyFont="1" applyFill="1" applyAlignment="1">
      <alignment horizontal="left" vertical="center" wrapText="1"/>
      <protection/>
    </xf>
    <xf numFmtId="1" fontId="0" fillId="0" borderId="0" xfId="98" applyNumberFormat="1" applyFont="1" applyFill="1" applyAlignment="1" quotePrefix="1">
      <alignment horizontal="left" vertical="center" wrapText="1"/>
      <protection/>
    </xf>
    <xf numFmtId="1" fontId="2" fillId="0" borderId="0" xfId="98" applyNumberFormat="1" applyFont="1" applyFill="1" applyAlignment="1">
      <alignment vertical="center" wrapText="1"/>
      <protection/>
    </xf>
    <xf numFmtId="3" fontId="0" fillId="0" borderId="15" xfId="98" applyNumberFormat="1" applyFont="1" applyBorder="1" applyAlignment="1">
      <alignment horizontal="center" vertical="center" wrapText="1"/>
      <protection/>
    </xf>
    <xf numFmtId="1" fontId="2" fillId="0" borderId="0" xfId="98" applyNumberFormat="1" applyFont="1" applyFill="1" applyAlignment="1">
      <alignment horizontal="center" vertical="center" wrapText="1"/>
      <protection/>
    </xf>
    <xf numFmtId="1" fontId="3" fillId="0" borderId="1" xfId="98" applyNumberFormat="1" applyFont="1" applyFill="1" applyBorder="1" applyAlignment="1">
      <alignment horizontal="center" vertical="center"/>
      <protection/>
    </xf>
    <xf numFmtId="0" fontId="3" fillId="0" borderId="0" xfId="0" applyFont="1" applyAlignment="1">
      <alignment horizontal="right"/>
    </xf>
    <xf numFmtId="0" fontId="2" fillId="0" borderId="0" xfId="0" applyFont="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right" vertical="center"/>
    </xf>
    <xf numFmtId="0" fontId="54" fillId="0" borderId="15" xfId="0" applyFont="1" applyBorder="1" applyAlignment="1">
      <alignment horizontal="center" vertical="center" wrapText="1"/>
    </xf>
    <xf numFmtId="0" fontId="12" fillId="0" borderId="0" xfId="103" applyFont="1" applyAlignment="1">
      <alignment horizontal="left"/>
      <protection/>
    </xf>
    <xf numFmtId="0" fontId="12" fillId="0" borderId="0" xfId="96" applyFont="1" applyBorder="1" applyAlignment="1">
      <alignment horizontal="center" vertical="center"/>
      <protection/>
    </xf>
    <xf numFmtId="0" fontId="6" fillId="0" borderId="0" xfId="99" applyFont="1" applyFill="1" applyAlignment="1">
      <alignment horizontal="left"/>
      <protection/>
    </xf>
    <xf numFmtId="0" fontId="6" fillId="0" borderId="0" xfId="99" applyFont="1" applyFill="1" applyAlignment="1">
      <alignment horizontal="center"/>
      <protection/>
    </xf>
    <xf numFmtId="0" fontId="48" fillId="0" borderId="0" xfId="99" applyFont="1" applyFill="1" applyAlignment="1">
      <alignment horizontal="center"/>
      <protection/>
    </xf>
    <xf numFmtId="183" fontId="48" fillId="0" borderId="1" xfId="49" applyNumberFormat="1" applyFont="1" applyFill="1" applyBorder="1" applyAlignment="1">
      <alignment horizontal="right"/>
    </xf>
    <xf numFmtId="0" fontId="6" fillId="0" borderId="15" xfId="99" applyFont="1" applyFill="1" applyBorder="1" applyAlignment="1">
      <alignment horizontal="center" vertical="center" wrapText="1"/>
      <protection/>
    </xf>
    <xf numFmtId="0" fontId="6" fillId="0" borderId="15" xfId="99" applyFont="1" applyFill="1" applyBorder="1" applyAlignment="1">
      <alignment horizontal="center" vertical="center"/>
      <protection/>
    </xf>
    <xf numFmtId="3" fontId="6" fillId="0" borderId="15" xfId="49" applyNumberFormat="1" applyFont="1" applyFill="1" applyBorder="1" applyAlignment="1">
      <alignment horizontal="center" vertical="center" wrapText="1"/>
    </xf>
    <xf numFmtId="3" fontId="6" fillId="0" borderId="15" xfId="49"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183" fontId="6" fillId="0" borderId="15" xfId="49" applyNumberFormat="1" applyFont="1" applyFill="1" applyBorder="1" applyAlignment="1">
      <alignment horizontal="center" vertical="center" wrapText="1"/>
    </xf>
    <xf numFmtId="183" fontId="6" fillId="0" borderId="15" xfId="49" applyNumberFormat="1"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2" fillId="0" borderId="0" xfId="0" applyFont="1" applyFill="1" applyAlignment="1">
      <alignment horizontal="left" vertical="center"/>
    </xf>
    <xf numFmtId="0" fontId="6" fillId="0" borderId="0" xfId="0" applyFont="1" applyFill="1" applyAlignment="1">
      <alignment horizontal="center" vertical="center"/>
    </xf>
    <xf numFmtId="49" fontId="0" fillId="0" borderId="19"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0" fontId="52" fillId="0" borderId="15" xfId="0" applyFont="1" applyBorder="1" applyAlignment="1">
      <alignment horizontal="left" vertical="center" wrapText="1"/>
    </xf>
    <xf numFmtId="0" fontId="6" fillId="0" borderId="0" xfId="0" applyFont="1" applyBorder="1" applyAlignment="1">
      <alignment horizontal="center" wrapText="1"/>
    </xf>
    <xf numFmtId="0" fontId="52" fillId="0" borderId="15"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38" xfId="0" applyFont="1" applyBorder="1" applyAlignment="1">
      <alignment horizontal="center" vertical="center" wrapText="1"/>
    </xf>
    <xf numFmtId="0" fontId="12" fillId="0" borderId="0" xfId="0" applyFont="1" applyAlignment="1">
      <alignment horizontal="left"/>
    </xf>
    <xf numFmtId="0" fontId="47" fillId="0" borderId="1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15" xfId="0" applyFont="1" applyBorder="1" applyAlignment="1">
      <alignment horizontal="left" vertical="center" wrapText="1"/>
    </xf>
    <xf numFmtId="0" fontId="12" fillId="0" borderId="1" xfId="0" applyFont="1" applyBorder="1" applyAlignment="1">
      <alignment horizontal="center"/>
    </xf>
    <xf numFmtId="0" fontId="19" fillId="0" borderId="46" xfId="0" applyFont="1" applyFill="1" applyBorder="1" applyAlignment="1">
      <alignment horizontal="center" wrapText="1"/>
    </xf>
    <xf numFmtId="0" fontId="47" fillId="0" borderId="29" xfId="0" applyFont="1" applyFill="1" applyBorder="1" applyAlignment="1">
      <alignment horizontal="center" vertical="center"/>
    </xf>
    <xf numFmtId="0" fontId="47" fillId="0" borderId="30" xfId="0" applyFont="1" applyFill="1" applyBorder="1" applyAlignment="1">
      <alignment horizontal="center" vertical="center" wrapText="1"/>
    </xf>
    <xf numFmtId="0" fontId="47" fillId="0" borderId="30" xfId="0" applyFont="1" applyFill="1" applyBorder="1" applyAlignment="1">
      <alignment horizontal="center" vertical="center"/>
    </xf>
    <xf numFmtId="49" fontId="47" fillId="0" borderId="13" xfId="0" applyNumberFormat="1" applyFont="1" applyFill="1" applyBorder="1" applyAlignment="1">
      <alignment horizontal="justify" vertical="center" wrapText="1"/>
    </xf>
    <xf numFmtId="0" fontId="47" fillId="0" borderId="47" xfId="0" applyFont="1" applyFill="1" applyBorder="1" applyAlignment="1">
      <alignment horizontal="center" vertical="center"/>
    </xf>
    <xf numFmtId="0" fontId="112" fillId="35" borderId="29" xfId="0" applyFont="1" applyFill="1" applyBorder="1" applyAlignment="1">
      <alignment horizontal="center" vertical="center"/>
    </xf>
    <xf numFmtId="49" fontId="112" fillId="35" borderId="13" xfId="0" applyNumberFormat="1" applyFont="1" applyFill="1" applyBorder="1" applyAlignment="1">
      <alignment horizontal="justify" vertical="center"/>
    </xf>
    <xf numFmtId="0" fontId="112" fillId="35" borderId="13" xfId="0" applyFont="1" applyFill="1" applyBorder="1" applyAlignment="1">
      <alignment horizontal="center"/>
    </xf>
    <xf numFmtId="10" fontId="112" fillId="35" borderId="13" xfId="0" applyNumberFormat="1" applyFont="1" applyFill="1" applyBorder="1" applyAlignment="1">
      <alignment horizontal="center"/>
    </xf>
    <xf numFmtId="3" fontId="112" fillId="35" borderId="13" xfId="0" applyNumberFormat="1" applyFont="1" applyFill="1" applyBorder="1" applyAlignment="1">
      <alignment horizontal="center"/>
    </xf>
    <xf numFmtId="196" fontId="112" fillId="35" borderId="13" xfId="106" applyNumberFormat="1" applyFont="1" applyFill="1" applyBorder="1" applyAlignment="1">
      <alignment horizontal="center"/>
    </xf>
    <xf numFmtId="183" fontId="112" fillId="35" borderId="13" xfId="49" applyNumberFormat="1" applyFont="1" applyFill="1" applyBorder="1" applyAlignment="1">
      <alignment/>
    </xf>
    <xf numFmtId="3" fontId="112" fillId="35" borderId="13" xfId="0" applyNumberFormat="1" applyFont="1" applyFill="1" applyBorder="1" applyAlignment="1">
      <alignment/>
    </xf>
    <xf numFmtId="49" fontId="112" fillId="35" borderId="13" xfId="0" applyNumberFormat="1" applyFont="1" applyFill="1" applyBorder="1" applyAlignment="1">
      <alignment horizontal="center" vertical="center"/>
    </xf>
    <xf numFmtId="0" fontId="112" fillId="35" borderId="13" xfId="0" applyFont="1" applyFill="1" applyBorder="1" applyAlignment="1">
      <alignment horizontal="center" vertical="center"/>
    </xf>
    <xf numFmtId="0" fontId="112" fillId="35" borderId="30" xfId="0" applyFont="1" applyFill="1" applyBorder="1" applyAlignment="1">
      <alignment horizontal="center" vertical="center"/>
    </xf>
    <xf numFmtId="196" fontId="112" fillId="35" borderId="13" xfId="106" applyNumberFormat="1" applyFont="1" applyFill="1" applyBorder="1" applyAlignment="1">
      <alignment/>
    </xf>
  </cellXfs>
  <cellStyles count="11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3 2" xfId="53"/>
    <cellStyle name="Comma 4" xfId="54"/>
    <cellStyle name="Comma 4 2" xfId="55"/>
    <cellStyle name="Comma 5" xfId="56"/>
    <cellStyle name="Comma 5 2" xfId="57"/>
    <cellStyle name="Comma 6" xfId="58"/>
    <cellStyle name="Comma0" xfId="59"/>
    <cellStyle name="Currency" xfId="60"/>
    <cellStyle name="Currency [0]" xfId="61"/>
    <cellStyle name="Currency0" xfId="62"/>
    <cellStyle name="Date" xfId="63"/>
    <cellStyle name="Explanatory Text" xfId="64"/>
    <cellStyle name="Fixed" xfId="65"/>
    <cellStyle name="Followed Hyperlink" xfId="66"/>
    <cellStyle name="Good" xfId="67"/>
    <cellStyle name="Header1" xfId="68"/>
    <cellStyle name="Header2" xfId="69"/>
    <cellStyle name="Heading 1" xfId="70"/>
    <cellStyle name="Heading 2" xfId="71"/>
    <cellStyle name="Heading 3" xfId="72"/>
    <cellStyle name="Heading 4" xfId="73"/>
    <cellStyle name="Hyperlink" xfId="74"/>
    <cellStyle name="Input" xfId="75"/>
    <cellStyle name="Linked Cell" xfId="76"/>
    <cellStyle name="Loai CBDT" xfId="77"/>
    <cellStyle name="Loai CT" xfId="78"/>
    <cellStyle name="Loai GD" xfId="79"/>
    <cellStyle name="n" xfId="80"/>
    <cellStyle name="Neutral" xfId="81"/>
    <cellStyle name="Normal - Style1" xfId="82"/>
    <cellStyle name="Normal 2" xfId="83"/>
    <cellStyle name="Normal 2 2" xfId="84"/>
    <cellStyle name="Normal 2_Bieu mau KH 2015 tinh DongNai (Lan 2- Thang 9-2015)" xfId="85"/>
    <cellStyle name="Normal 3" xfId="86"/>
    <cellStyle name="Normal 3 2" xfId="87"/>
    <cellStyle name="Normal 3_Bieu mau KH 2015 tinh DongNai (Lan 2- Thang 9-2015)" xfId="88"/>
    <cellStyle name="Normal 4" xfId="89"/>
    <cellStyle name="Normal 5" xfId="90"/>
    <cellStyle name="Normal 6" xfId="91"/>
    <cellStyle name="Normal 7" xfId="92"/>
    <cellStyle name="Normal 8" xfId="93"/>
    <cellStyle name="Normal 9" xfId="94"/>
    <cellStyle name="Normal_2013" xfId="95"/>
    <cellStyle name="Normal_Bang bieu, Phu luc kem theo HD 340 -So KHDT" xfId="96"/>
    <cellStyle name="Normal_Bangbieu(PhongHTDT)" xfId="97"/>
    <cellStyle name="Normal_Bieu mau (CV )" xfId="98"/>
    <cellStyle name="Normal_Bieu mau KH 2014 DongNai" xfId="99"/>
    <cellStyle name="Normal_KT-XH TH2011-2013,UTH2014, KH20154" xfId="100"/>
    <cellStyle name="Normal_Sheet1 (2)" xfId="101"/>
    <cellStyle name="Normal_Toan tinh 2012-SYT" xfId="102"/>
    <cellStyle name="Normal_Vu Quan ly QH_BieuBaocaoQuyhoach2011" xfId="103"/>
    <cellStyle name="Note" xfId="104"/>
    <cellStyle name="Output" xfId="105"/>
    <cellStyle name="Percent" xfId="106"/>
    <cellStyle name="Title" xfId="107"/>
    <cellStyle name="Tong so" xfId="108"/>
    <cellStyle name="tong so 1" xfId="109"/>
    <cellStyle name="Total" xfId="110"/>
    <cellStyle name="Warning Text" xfId="111"/>
    <cellStyle name="xuan" xfId="112"/>
    <cellStyle name=" [0.00]_ Att. 1- Cover" xfId="113"/>
    <cellStyle name="_ Att. 1- Cover" xfId="114"/>
    <cellStyle name="?_ Att. 1- Cover" xfId="115"/>
    <cellStyle name="똿뗦먛귟 [0.00]_PRODUCT DETAIL Q1" xfId="116"/>
    <cellStyle name="똿뗦먛귟_PRODUCT DETAIL Q1" xfId="117"/>
    <cellStyle name="믅됞 [0.00]_PRODUCT DETAIL Q1" xfId="118"/>
    <cellStyle name="믅됞_PRODUCT DETAIL Q1" xfId="119"/>
    <cellStyle name="백분율_95" xfId="120"/>
    <cellStyle name="뷭?_BOOKSHIP" xfId="121"/>
    <cellStyle name="콤마 [0]_1202" xfId="122"/>
    <cellStyle name="콤마_1202" xfId="123"/>
    <cellStyle name="통화 [0]_1202" xfId="124"/>
    <cellStyle name="통화_1202" xfId="125"/>
    <cellStyle name="표준_(정보부문)월별인원계획" xfId="126"/>
    <cellStyle name="一般_00Q3902REV.1" xfId="127"/>
    <cellStyle name="千分位[0]_00Q3902REV.1" xfId="128"/>
    <cellStyle name="千分位_00Q3902REV.1" xfId="129"/>
    <cellStyle name="貨幣 [0]_00Q3902REV.1" xfId="130"/>
    <cellStyle name="貨幣[0]_BRE" xfId="131"/>
    <cellStyle name="貨幣_00Q3902REV.1"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ual%20SEDP\2012\KH%202012\Phu%20luc%20KH2012%20bao%20cao%20Quoc%20hoi%20FINAL%2020111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Bieu%204%20nam%20lan%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ia%20D\KEHOACH\nam%202014\KEHOACH%20TINH%20NAM%202014(us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Bieu%20KEHOACH%202015%20Dong%20Nai%20(09-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Bieu%20KEHOACH%202015%20Dong%20Nai%20(us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VanPro_2013_2017_Tinh%20Dong%20Nai_%202015(s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ng Hop"/>
      <sheetName val="CN- XD"/>
      <sheetName val="TMDV"/>
      <sheetName val="NLT"/>
      <sheetName val="THU - CHI NS"/>
      <sheetName val="DNDD"/>
      <sheetName val="FDI"/>
      <sheetName val="DTPT"/>
      <sheetName val="SSNQ"/>
    </sheetNames>
    <sheetDataSet>
      <sheetData sheetId="0">
        <row r="52">
          <cell r="D52">
            <v>57.003521934299215</v>
          </cell>
        </row>
        <row r="53">
          <cell r="D53">
            <v>28.032364458867598</v>
          </cell>
        </row>
        <row r="54">
          <cell r="D54">
            <v>14.964113606833182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Mâmnon"/>
      <sheetName val="tieuhoc"/>
      <sheetName val="THCS"/>
      <sheetName val="THPT"/>
      <sheetName val="GDTX"/>
      <sheetName val="CĐ,ĐH,TCCN"/>
      <sheetName val="CU TUYEN"/>
      <sheetName val="Taichinh"/>
      <sheetName val="HS chinh sach "/>
      <sheetName val="KP CTMT GD"/>
      <sheetName val="Nhiem vu CTMT GD"/>
      <sheetName val="CSVC (TH)"/>
      <sheetName val="TBDH(TH)"/>
      <sheetName val=" TÔNG HOP"/>
    </sheetNames>
    <sheetDataSet>
      <sheetData sheetId="0">
        <row r="21">
          <cell r="G21">
            <v>0.255208709833705</v>
          </cell>
        </row>
        <row r="22">
          <cell r="G22">
            <v>0.8845029356391765</v>
          </cell>
        </row>
        <row r="24">
          <cell r="G24">
            <v>27747</v>
          </cell>
        </row>
        <row r="28">
          <cell r="G28">
            <v>116567</v>
          </cell>
        </row>
      </sheetData>
      <sheetData sheetId="1">
        <row r="15">
          <cell r="G15">
            <v>220149.26237339003</v>
          </cell>
        </row>
      </sheetData>
      <sheetData sheetId="2">
        <row r="15">
          <cell r="G15">
            <v>160515</v>
          </cell>
        </row>
      </sheetData>
      <sheetData sheetId="3">
        <row r="14">
          <cell r="G14">
            <v>74982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Mâmnon"/>
      <sheetName val="tieuhoc"/>
      <sheetName val="THCS"/>
      <sheetName val="THPT"/>
      <sheetName val="GDTX (2)"/>
      <sheetName val=" TÔNG HOP"/>
      <sheetName val="MN_TB"/>
      <sheetName val="MN_BH"/>
      <sheetName val="MN_TP"/>
      <sheetName val="MN_DQ"/>
      <sheetName val="MN_LK"/>
      <sheetName val="MN_TN"/>
      <sheetName val="MN_XL"/>
      <sheetName val="MN_CM"/>
      <sheetName val="MN_LT"/>
      <sheetName val="MN_VC"/>
      <sheetName val="MN_NT"/>
      <sheetName val="TH_TB"/>
      <sheetName val="TH_BH"/>
      <sheetName val="TH_TP"/>
      <sheetName val="TH_DQ"/>
      <sheetName val="TH_LK"/>
      <sheetName val="TH_TN"/>
      <sheetName val="TH_XL"/>
      <sheetName val="TH_CM"/>
      <sheetName val="TH_LT"/>
      <sheetName val="TH_VC"/>
      <sheetName val="TH_NT"/>
      <sheetName val="THCS_TB"/>
      <sheetName val="THCS_BH"/>
      <sheetName val="THCS_TP"/>
      <sheetName val="THCS_DQ"/>
      <sheetName val="THCS_LK"/>
      <sheetName val="THCS _TN"/>
      <sheetName val="THCS_XL"/>
      <sheetName val="THCS_CM"/>
      <sheetName val="THCS_LT"/>
      <sheetName val="THCS_VC"/>
      <sheetName val="THCS_NT"/>
      <sheetName val="CĐ,ĐH,TCCN"/>
      <sheetName val="CU TUYEN"/>
      <sheetName val="Taichinh"/>
      <sheetName val="Taichinh_TB"/>
      <sheetName val="Taichinh_TN"/>
      <sheetName val="Taichinh_BH"/>
      <sheetName val="Taichinh_TP"/>
      <sheetName val="Taichinh_DQ"/>
      <sheetName val="Taichinh_LK"/>
      <sheetName val="Taichinh_CM "/>
      <sheetName val="Taichinh_LT"/>
      <sheetName val="Taichinh_VC"/>
      <sheetName val="Taichinh_NT"/>
      <sheetName val="HS chinh sach"/>
      <sheetName val="HS chinh sach_TB"/>
      <sheetName val="HS chinh sach NT"/>
      <sheetName val="KP CTMT GD (2)"/>
      <sheetName val="Nhiem vu CTMT GD (2)"/>
      <sheetName val="Nong thon moi (2)"/>
      <sheetName val="Sach, thiet bi day hoc (2)"/>
      <sheetName val="Khung chung"/>
      <sheetName val="Khung chỉ tiêu đầu vào"/>
      <sheetName val="Khung chỉ tiêu đầu ra"/>
      <sheetName val="Khung chỉ tiêu kết quả"/>
    </sheetNames>
    <sheetDataSet>
      <sheetData sheetId="0">
        <row r="29">
          <cell r="F29">
            <v>0.2019751786675959</v>
          </cell>
          <cell r="G29">
            <v>0.24999833845456573</v>
          </cell>
        </row>
        <row r="30">
          <cell r="E30">
            <v>0.8911984338269646</v>
          </cell>
          <cell r="G30">
            <v>0.9018857664392045</v>
          </cell>
        </row>
        <row r="32">
          <cell r="F32">
            <v>22295.266408181615</v>
          </cell>
          <cell r="G32">
            <v>27967</v>
          </cell>
        </row>
        <row r="37">
          <cell r="F37">
            <v>123784.37000000001</v>
          </cell>
          <cell r="G37">
            <v>128835</v>
          </cell>
        </row>
      </sheetData>
      <sheetData sheetId="1">
        <row r="21">
          <cell r="F21">
            <v>229994</v>
          </cell>
        </row>
      </sheetData>
      <sheetData sheetId="2">
        <row r="18">
          <cell r="F18">
            <v>159716</v>
          </cell>
        </row>
      </sheetData>
      <sheetData sheetId="3">
        <row r="15">
          <cell r="F15">
            <v>73166.878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Mâmnon"/>
      <sheetName val="tieuhoc"/>
      <sheetName val="THCS"/>
      <sheetName val="THPT"/>
      <sheetName val=" TÔNG HOP"/>
      <sheetName val="MN_TB"/>
      <sheetName val="MN_BH"/>
      <sheetName val="MN_TP"/>
      <sheetName val="MN_DQ"/>
      <sheetName val="MN_LK"/>
      <sheetName val="MN_TN"/>
      <sheetName val="MN_XL"/>
      <sheetName val="MN_CM"/>
      <sheetName val="MN_LT"/>
      <sheetName val="MN_VC"/>
      <sheetName val="MN_NT"/>
      <sheetName val="TH_TB"/>
      <sheetName val="TH_BH"/>
      <sheetName val="TH_TP"/>
      <sheetName val="TH_DQ"/>
      <sheetName val="TH_LK"/>
      <sheetName val="TH_TN"/>
      <sheetName val="TH_XL"/>
      <sheetName val="TH_CM"/>
      <sheetName val="TH_LT"/>
      <sheetName val="TH_VC"/>
      <sheetName val="TH_NT"/>
      <sheetName val="THCS_TB"/>
      <sheetName val="THCS_BH"/>
      <sheetName val="THCS_TP"/>
      <sheetName val="THCS_DQ"/>
      <sheetName val="THCS_LK"/>
      <sheetName val="THCS _TN"/>
      <sheetName val="THCS_XL"/>
      <sheetName val="THCS_CM"/>
      <sheetName val="THCS_LT"/>
      <sheetName val="THCS_VC"/>
      <sheetName val="THCS_NT"/>
      <sheetName val="GDTX"/>
      <sheetName val="CĐ,ĐH,TCCN"/>
      <sheetName val="CU TUYEN"/>
      <sheetName val="Taichinh"/>
      <sheetName val="Taichinh_TB"/>
      <sheetName val="Taichinh_TN"/>
      <sheetName val="Taichinh_BH"/>
      <sheetName val="Taichinh_TP"/>
      <sheetName val="Taichinh_DQ"/>
      <sheetName val="Taichinh_LK"/>
      <sheetName val="Taichinh_CM "/>
      <sheetName val="Taichinh_LT"/>
      <sheetName val="Taichinh_VC"/>
      <sheetName val="Taichinh_NT"/>
      <sheetName val="HS chinh sach"/>
      <sheetName val="HS chinh sach_TB"/>
      <sheetName val="HS chinh sach NT"/>
      <sheetName val="KP CTMT GD"/>
      <sheetName val="Nhiem vu CTMT GD"/>
      <sheetName val="Nong thon moi"/>
      <sheetName val="Nong thon moi_TB"/>
      <sheetName val="Nong thon moi NT"/>
      <sheetName val="Sach, thiet bi day hoc"/>
      <sheetName val="Sach, thiet bi day hoc_TB"/>
      <sheetName val="Sach, thiet bi day hoc NT"/>
      <sheetName val=" TÔNG HOP_TB"/>
      <sheetName val=" TÔNG HOP NT"/>
      <sheetName val="Khung chung"/>
      <sheetName val="Khung chỉ tiêu đầu vào"/>
      <sheetName val="Khung chỉ tiêu đầu ra"/>
      <sheetName val="Khung chỉ tiêu kết quả"/>
    </sheetNames>
    <sheetDataSet>
      <sheetData sheetId="1">
        <row r="21">
          <cell r="G21">
            <v>235065</v>
          </cell>
        </row>
      </sheetData>
      <sheetData sheetId="2">
        <row r="18">
          <cell r="G18">
            <v>162862</v>
          </cell>
        </row>
      </sheetData>
      <sheetData sheetId="3">
        <row r="15">
          <cell r="G15">
            <v>73591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ang_Bia"/>
      <sheetName val="MOHINH-MAMNON"/>
      <sheetName val="MOHINH-TIEUHOC"/>
      <sheetName val="MOHINH-THCS"/>
      <sheetName val="MOHINH-THPT"/>
      <sheetName val="MOHINH-TTAM"/>
      <sheetName val="MOHINH_DH_CD_TCCN"/>
      <sheetName val="TS_CD_TCCN"/>
      <sheetName val="CTMT"/>
      <sheetName val="CHISO-CHINH"/>
      <sheetName val="TONGHOP-THUCHI"/>
      <sheetName val="TOMTAT-CTMT"/>
      <sheetName val="HOCSINH"/>
      <sheetName val="BH_CD_CD"/>
    </sheetNames>
    <sheetDataSet>
      <sheetData sheetId="1">
        <row r="26">
          <cell r="H26">
            <v>0.8930672349542459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H6"/>
  <sheetViews>
    <sheetView zoomScalePageLayoutView="0" workbookViewId="0" topLeftCell="B1">
      <selection activeCell="H11" sqref="H11"/>
    </sheetView>
  </sheetViews>
  <sheetFormatPr defaultColWidth="9.00390625" defaultRowHeight="15.75"/>
  <cols>
    <col min="1" max="1" width="9.00390625" style="0" hidden="1" customWidth="1"/>
    <col min="3" max="3" width="3.00390625" style="0" customWidth="1"/>
    <col min="4" max="4" width="20.00390625" style="0" customWidth="1"/>
    <col min="7" max="7" width="15.00390625" style="0" customWidth="1"/>
    <col min="8" max="8" width="27.625" style="0" customWidth="1"/>
  </cols>
  <sheetData>
    <row r="1" spans="2:8" ht="77.25" customHeight="1">
      <c r="B1" s="838" t="s">
        <v>1135</v>
      </c>
      <c r="C1" s="838"/>
      <c r="D1" s="838"/>
      <c r="E1" s="838"/>
      <c r="F1" s="838"/>
      <c r="G1" s="838"/>
      <c r="H1" s="838"/>
    </row>
    <row r="2" spans="2:8" ht="39.75" customHeight="1">
      <c r="B2" s="6"/>
      <c r="C2" s="6"/>
      <c r="D2" s="6"/>
      <c r="E2" s="6"/>
      <c r="F2" s="6"/>
      <c r="G2" s="6"/>
      <c r="H2" s="7"/>
    </row>
    <row r="3" spans="2:8" ht="21.75">
      <c r="B3" s="839" t="s">
        <v>1117</v>
      </c>
      <c r="C3" s="839"/>
      <c r="D3" s="839"/>
      <c r="E3" s="839"/>
      <c r="F3" s="839"/>
      <c r="G3" s="839"/>
      <c r="H3" s="839"/>
    </row>
    <row r="4" spans="2:8" s="8" customFormat="1" ht="49.5" customHeight="1">
      <c r="B4" s="840" t="s">
        <v>199</v>
      </c>
      <c r="C4" s="840"/>
      <c r="D4" s="840"/>
      <c r="E4" s="840"/>
      <c r="F4" s="840"/>
      <c r="G4" s="840"/>
      <c r="H4" s="840"/>
    </row>
    <row r="5" spans="2:8" s="8" customFormat="1" ht="19.5">
      <c r="B5" s="842" t="s">
        <v>290</v>
      </c>
      <c r="C5" s="842"/>
      <c r="D5" s="842"/>
      <c r="E5" s="842"/>
      <c r="F5" s="842"/>
      <c r="G5" s="842"/>
      <c r="H5" s="842"/>
    </row>
    <row r="6" spans="2:8" ht="55.5" customHeight="1">
      <c r="B6" s="841" t="s">
        <v>1136</v>
      </c>
      <c r="C6" s="841"/>
      <c r="D6" s="841"/>
      <c r="E6" s="841"/>
      <c r="F6" s="841"/>
      <c r="G6" s="841"/>
      <c r="H6" s="841"/>
    </row>
  </sheetData>
  <sheetProtection/>
  <mergeCells count="5">
    <mergeCell ref="B1:H1"/>
    <mergeCell ref="B3:H3"/>
    <mergeCell ref="B4:H4"/>
    <mergeCell ref="B6:H6"/>
    <mergeCell ref="B5:H5"/>
  </mergeCells>
  <printOptions horizontalCentered="1" vertic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AM324"/>
  <sheetViews>
    <sheetView zoomScale="85" zoomScaleNormal="85" zoomScalePageLayoutView="0" workbookViewId="0" topLeftCell="A1">
      <selection activeCell="D1" sqref="D1"/>
    </sheetView>
  </sheetViews>
  <sheetFormatPr defaultColWidth="9.00390625" defaultRowHeight="15.75"/>
  <cols>
    <col min="1" max="1" width="9.125" style="298" customWidth="1"/>
    <col min="2" max="2" width="29.125" style="299" customWidth="1"/>
    <col min="3" max="3" width="10.25390625" style="300" bestFit="1" customWidth="1"/>
    <col min="4" max="4" width="8.25390625" style="300" customWidth="1"/>
    <col min="5" max="5" width="8.00390625" style="266" customWidth="1"/>
    <col min="6" max="6" width="7.375" style="266" customWidth="1"/>
    <col min="7" max="7" width="9.50390625" style="266" customWidth="1"/>
    <col min="8" max="8" width="7.00390625" style="266" customWidth="1"/>
    <col min="9" max="9" width="11.25390625" style="266" bestFit="1" customWidth="1"/>
    <col min="10" max="12" width="10.75390625" style="266" customWidth="1"/>
    <col min="13" max="16" width="10.00390625" style="266" customWidth="1"/>
    <col min="17" max="21" width="9.375" style="240" customWidth="1"/>
    <col min="22" max="22" width="10.25390625" style="240" customWidth="1"/>
    <col min="23" max="27" width="9.375" style="240" customWidth="1"/>
    <col min="28" max="28" width="10.00390625" style="240" customWidth="1"/>
    <col min="29" max="16384" width="9.00390625" style="240" customWidth="1"/>
  </cols>
  <sheetData>
    <row r="1" spans="1:39" s="259" customFormat="1" ht="19.5">
      <c r="A1" s="27" t="s">
        <v>1084</v>
      </c>
      <c r="B1" s="258"/>
      <c r="C1" s="258"/>
      <c r="D1" s="258"/>
      <c r="E1" s="258"/>
      <c r="F1" s="258"/>
      <c r="G1" s="258"/>
      <c r="H1" s="258"/>
      <c r="I1" s="241"/>
      <c r="J1" s="258"/>
      <c r="K1" s="258"/>
      <c r="M1" s="258"/>
      <c r="N1" s="260"/>
      <c r="O1" s="261"/>
      <c r="P1" s="262"/>
      <c r="Q1" s="262"/>
      <c r="R1" s="261"/>
      <c r="S1" s="261"/>
      <c r="T1" s="261"/>
      <c r="U1" s="261"/>
      <c r="V1" s="261"/>
      <c r="W1" s="261"/>
      <c r="X1" s="261"/>
      <c r="Y1" s="261"/>
      <c r="Z1" s="258"/>
      <c r="AA1" s="258"/>
      <c r="AC1" s="258"/>
      <c r="AD1" s="258"/>
      <c r="AE1" s="258"/>
      <c r="AF1" s="258"/>
      <c r="AG1" s="258"/>
      <c r="AH1" s="258"/>
      <c r="AI1" s="258"/>
      <c r="AJ1" s="258"/>
      <c r="AK1" s="258"/>
      <c r="AL1" s="258"/>
      <c r="AM1" s="258"/>
    </row>
    <row r="2" spans="1:25" ht="19.5" customHeight="1">
      <c r="A2" s="864" t="s">
        <v>103</v>
      </c>
      <c r="B2" s="864"/>
      <c r="C2" s="864"/>
      <c r="D2" s="864"/>
      <c r="E2" s="864"/>
      <c r="F2" s="864"/>
      <c r="G2" s="864"/>
      <c r="H2" s="864"/>
      <c r="I2" s="864"/>
      <c r="J2" s="263"/>
      <c r="K2" s="263"/>
      <c r="L2" s="263"/>
      <c r="M2" s="264"/>
      <c r="N2" s="265"/>
      <c r="O2" s="261"/>
      <c r="P2" s="262"/>
      <c r="Q2" s="262"/>
      <c r="R2" s="261"/>
      <c r="S2" s="261"/>
      <c r="T2" s="261"/>
      <c r="U2" s="261"/>
      <c r="V2" s="261"/>
      <c r="W2" s="261"/>
      <c r="X2" s="261"/>
      <c r="Y2" s="261"/>
    </row>
    <row r="3" spans="1:13" ht="19.5">
      <c r="A3" s="240"/>
      <c r="B3" s="240"/>
      <c r="C3" s="240"/>
      <c r="D3" s="240"/>
      <c r="E3" s="240"/>
      <c r="F3" s="240"/>
      <c r="G3" s="240"/>
      <c r="H3" s="240"/>
      <c r="I3" s="240"/>
      <c r="J3" s="240"/>
      <c r="K3" s="240"/>
      <c r="L3" s="240"/>
      <c r="M3" s="240"/>
    </row>
    <row r="4" spans="1:13" ht="19.5" customHeight="1">
      <c r="A4" s="865" t="s">
        <v>214</v>
      </c>
      <c r="B4" s="865" t="s">
        <v>1036</v>
      </c>
      <c r="C4" s="865" t="s">
        <v>215</v>
      </c>
      <c r="D4" s="865" t="s">
        <v>310</v>
      </c>
      <c r="E4" s="865" t="s">
        <v>1207</v>
      </c>
      <c r="F4" s="865"/>
      <c r="G4" s="865"/>
      <c r="H4" s="865" t="s">
        <v>1208</v>
      </c>
      <c r="I4" s="865"/>
      <c r="J4" s="240"/>
      <c r="K4" s="240"/>
      <c r="L4" s="240"/>
      <c r="M4" s="240"/>
    </row>
    <row r="5" spans="1:13" ht="47.25">
      <c r="A5" s="865"/>
      <c r="B5" s="865"/>
      <c r="C5" s="865"/>
      <c r="D5" s="865"/>
      <c r="E5" s="267" t="s">
        <v>216</v>
      </c>
      <c r="F5" s="267" t="s">
        <v>1209</v>
      </c>
      <c r="G5" s="267" t="s">
        <v>1210</v>
      </c>
      <c r="H5" s="267" t="s">
        <v>1211</v>
      </c>
      <c r="I5" s="267" t="s">
        <v>1212</v>
      </c>
      <c r="J5" s="240"/>
      <c r="K5" s="240"/>
      <c r="L5" s="240"/>
      <c r="M5" s="240"/>
    </row>
    <row r="6" spans="1:13" ht="19.5">
      <c r="A6" s="268">
        <v>1</v>
      </c>
      <c r="B6" s="268">
        <v>2</v>
      </c>
      <c r="C6" s="268">
        <v>3</v>
      </c>
      <c r="D6" s="268">
        <v>4</v>
      </c>
      <c r="E6" s="268">
        <v>8</v>
      </c>
      <c r="F6" s="268">
        <v>9</v>
      </c>
      <c r="G6" s="268" t="s">
        <v>217</v>
      </c>
      <c r="H6" s="268">
        <v>11</v>
      </c>
      <c r="I6" s="268" t="s">
        <v>218</v>
      </c>
      <c r="J6" s="240"/>
      <c r="K6" s="240"/>
      <c r="L6" s="240"/>
      <c r="M6" s="240"/>
    </row>
    <row r="7" spans="1:16" s="271" customFormat="1" ht="19.5">
      <c r="A7" s="269" t="s">
        <v>1042</v>
      </c>
      <c r="B7" s="270" t="s">
        <v>219</v>
      </c>
      <c r="C7" s="269"/>
      <c r="D7" s="269"/>
      <c r="E7" s="270"/>
      <c r="F7" s="270"/>
      <c r="G7" s="270"/>
      <c r="H7" s="270"/>
      <c r="I7" s="270"/>
      <c r="N7" s="272"/>
      <c r="O7" s="272"/>
      <c r="P7" s="272"/>
    </row>
    <row r="8" spans="1:16" s="271" customFormat="1" ht="19.5">
      <c r="A8" s="273" t="s">
        <v>220</v>
      </c>
      <c r="B8" s="274" t="s">
        <v>221</v>
      </c>
      <c r="C8" s="273" t="s">
        <v>1051</v>
      </c>
      <c r="D8" s="275">
        <v>1005</v>
      </c>
      <c r="E8" s="275">
        <v>1000</v>
      </c>
      <c r="F8" s="275">
        <v>1100</v>
      </c>
      <c r="G8" s="278">
        <f>F8/E8*100</f>
        <v>110.00000000000001</v>
      </c>
      <c r="H8" s="275">
        <v>1100</v>
      </c>
      <c r="I8" s="277">
        <f>H8/F8</f>
        <v>1</v>
      </c>
      <c r="N8" s="272"/>
      <c r="O8" s="272"/>
      <c r="P8" s="272"/>
    </row>
    <row r="9" spans="1:16" s="271" customFormat="1" ht="19.5">
      <c r="A9" s="273" t="s">
        <v>222</v>
      </c>
      <c r="B9" s="279" t="s">
        <v>1213</v>
      </c>
      <c r="C9" s="280" t="s">
        <v>1051</v>
      </c>
      <c r="D9" s="275">
        <v>700</v>
      </c>
      <c r="E9" s="275">
        <v>850</v>
      </c>
      <c r="F9" s="275">
        <v>850</v>
      </c>
      <c r="G9" s="278">
        <f>F9/E9*100</f>
        <v>100</v>
      </c>
      <c r="H9" s="275">
        <v>900</v>
      </c>
      <c r="I9" s="277">
        <f>H9/F9</f>
        <v>1.0588235294117647</v>
      </c>
      <c r="N9" s="272"/>
      <c r="O9" s="272"/>
      <c r="P9" s="272"/>
    </row>
    <row r="10" spans="1:16" s="271" customFormat="1" ht="19.5">
      <c r="A10" s="273" t="s">
        <v>223</v>
      </c>
      <c r="B10" s="274" t="s">
        <v>224</v>
      </c>
      <c r="C10" s="273" t="s">
        <v>1051</v>
      </c>
      <c r="D10" s="275">
        <v>16000</v>
      </c>
      <c r="E10" s="275">
        <v>15000</v>
      </c>
      <c r="F10" s="275">
        <v>15000</v>
      </c>
      <c r="G10" s="278">
        <f>F10/E10*100</f>
        <v>100</v>
      </c>
      <c r="H10" s="275">
        <v>15500</v>
      </c>
      <c r="I10" s="277">
        <f>H10/F10</f>
        <v>1.0333333333333334</v>
      </c>
      <c r="N10" s="272"/>
      <c r="O10" s="272"/>
      <c r="P10" s="272"/>
    </row>
    <row r="11" spans="1:16" s="271" customFormat="1" ht="19.5">
      <c r="A11" s="273" t="s">
        <v>225</v>
      </c>
      <c r="B11" s="274" t="s">
        <v>226</v>
      </c>
      <c r="C11" s="273" t="s">
        <v>638</v>
      </c>
      <c r="D11" s="275">
        <v>410</v>
      </c>
      <c r="E11" s="275">
        <v>440</v>
      </c>
      <c r="F11" s="275">
        <v>440</v>
      </c>
      <c r="G11" s="275">
        <f>F11/E11*100</f>
        <v>100</v>
      </c>
      <c r="H11" s="275">
        <v>450</v>
      </c>
      <c r="I11" s="277">
        <f>H11/F11</f>
        <v>1.0227272727272727</v>
      </c>
      <c r="N11" s="272"/>
      <c r="O11" s="272"/>
      <c r="P11" s="272"/>
    </row>
    <row r="12" spans="1:16" s="271" customFormat="1" ht="19.5">
      <c r="A12" s="273" t="s">
        <v>227</v>
      </c>
      <c r="B12" s="274" t="s">
        <v>228</v>
      </c>
      <c r="C12" s="273" t="s">
        <v>1051</v>
      </c>
      <c r="D12" s="281">
        <v>623.04</v>
      </c>
      <c r="E12" s="449">
        <v>620</v>
      </c>
      <c r="F12" s="449">
        <v>620</v>
      </c>
      <c r="G12" s="282">
        <f>F12/D12</f>
        <v>0.9951206985105291</v>
      </c>
      <c r="H12" s="449">
        <v>650</v>
      </c>
      <c r="I12" s="282">
        <f>H12/F12</f>
        <v>1.0483870967741935</v>
      </c>
      <c r="N12" s="272"/>
      <c r="O12" s="272"/>
      <c r="P12" s="272"/>
    </row>
    <row r="13" spans="1:16" s="271" customFormat="1" ht="19.5">
      <c r="A13" s="269" t="s">
        <v>1066</v>
      </c>
      <c r="B13" s="270" t="s">
        <v>270</v>
      </c>
      <c r="C13" s="269"/>
      <c r="D13" s="278"/>
      <c r="E13" s="278"/>
      <c r="F13" s="278"/>
      <c r="G13" s="278"/>
      <c r="H13" s="283"/>
      <c r="I13" s="277"/>
      <c r="N13" s="272"/>
      <c r="O13" s="272"/>
      <c r="P13" s="272"/>
    </row>
    <row r="14" spans="1:16" s="271" customFormat="1" ht="19.5">
      <c r="A14" s="269" t="s">
        <v>229</v>
      </c>
      <c r="B14" s="270" t="s">
        <v>230</v>
      </c>
      <c r="C14" s="269"/>
      <c r="D14" s="278"/>
      <c r="E14" s="278"/>
      <c r="F14" s="278"/>
      <c r="G14" s="278"/>
      <c r="H14" s="283"/>
      <c r="I14" s="277"/>
      <c r="N14" s="272"/>
      <c r="O14" s="272"/>
      <c r="P14" s="272"/>
    </row>
    <row r="15" spans="1:16" s="271" customFormat="1" ht="19.5">
      <c r="A15" s="273" t="s">
        <v>231</v>
      </c>
      <c r="B15" s="274" t="s">
        <v>232</v>
      </c>
      <c r="C15" s="273" t="s">
        <v>233</v>
      </c>
      <c r="D15" s="275">
        <v>82</v>
      </c>
      <c r="E15" s="284">
        <v>60</v>
      </c>
      <c r="F15" s="284">
        <v>60</v>
      </c>
      <c r="G15" s="284">
        <f>F15/E15*100</f>
        <v>100</v>
      </c>
      <c r="H15" s="284">
        <v>55</v>
      </c>
      <c r="I15" s="277">
        <f>H15/F15</f>
        <v>0.9166666666666666</v>
      </c>
      <c r="N15" s="272"/>
      <c r="O15" s="272"/>
      <c r="P15" s="272"/>
    </row>
    <row r="16" spans="1:16" s="271" customFormat="1" ht="19.5">
      <c r="A16" s="273" t="s">
        <v>234</v>
      </c>
      <c r="B16" s="274" t="s">
        <v>235</v>
      </c>
      <c r="C16" s="273" t="s">
        <v>1051</v>
      </c>
      <c r="D16" s="285">
        <v>848.5</v>
      </c>
      <c r="E16" s="284">
        <v>400</v>
      </c>
      <c r="F16" s="284">
        <v>500</v>
      </c>
      <c r="G16" s="284">
        <f>F16/E16*100</f>
        <v>125</v>
      </c>
      <c r="H16" s="284">
        <v>400</v>
      </c>
      <c r="I16" s="277">
        <f>H16/F16</f>
        <v>0.8</v>
      </c>
      <c r="N16" s="272"/>
      <c r="O16" s="272"/>
      <c r="P16" s="272"/>
    </row>
    <row r="17" spans="1:16" s="271" customFormat="1" ht="19.5">
      <c r="A17" s="269" t="s">
        <v>236</v>
      </c>
      <c r="B17" s="270" t="s">
        <v>237</v>
      </c>
      <c r="C17" s="269"/>
      <c r="D17" s="278"/>
      <c r="E17" s="278"/>
      <c r="F17" s="278"/>
      <c r="G17" s="278"/>
      <c r="H17" s="278"/>
      <c r="I17" s="277"/>
      <c r="N17" s="272"/>
      <c r="O17" s="272"/>
      <c r="P17" s="272"/>
    </row>
    <row r="18" spans="1:16" s="271" customFormat="1" ht="19.5">
      <c r="A18" s="273" t="s">
        <v>238</v>
      </c>
      <c r="B18" s="274" t="s">
        <v>239</v>
      </c>
      <c r="C18" s="273" t="s">
        <v>240</v>
      </c>
      <c r="D18" s="275">
        <v>77</v>
      </c>
      <c r="E18" s="275">
        <v>55</v>
      </c>
      <c r="F18" s="275">
        <v>60</v>
      </c>
      <c r="G18" s="278">
        <f>F18/E18*100</f>
        <v>109.09090909090908</v>
      </c>
      <c r="H18" s="275">
        <v>60</v>
      </c>
      <c r="I18" s="277">
        <f>H18/F18</f>
        <v>1</v>
      </c>
      <c r="N18" s="272"/>
      <c r="O18" s="272"/>
      <c r="P18" s="272"/>
    </row>
    <row r="19" spans="1:16" s="271" customFormat="1" ht="19.5">
      <c r="A19" s="273" t="s">
        <v>241</v>
      </c>
      <c r="B19" s="274" t="s">
        <v>242</v>
      </c>
      <c r="C19" s="273" t="s">
        <v>1051</v>
      </c>
      <c r="D19" s="278">
        <v>794</v>
      </c>
      <c r="E19" s="286">
        <v>500</v>
      </c>
      <c r="F19" s="286">
        <v>1100</v>
      </c>
      <c r="G19" s="286">
        <f>F19/E19*100</f>
        <v>220.00000000000003</v>
      </c>
      <c r="H19" s="286">
        <v>450</v>
      </c>
      <c r="I19" s="277">
        <f>H19/F19</f>
        <v>0.4090909090909091</v>
      </c>
      <c r="N19" s="272"/>
      <c r="O19" s="272"/>
      <c r="P19" s="272"/>
    </row>
    <row r="20" spans="1:16" s="271" customFormat="1" ht="19.5">
      <c r="A20" s="273" t="s">
        <v>243</v>
      </c>
      <c r="B20" s="274" t="s">
        <v>244</v>
      </c>
      <c r="C20" s="273" t="s">
        <v>240</v>
      </c>
      <c r="D20" s="276">
        <v>0</v>
      </c>
      <c r="E20" s="278"/>
      <c r="F20" s="278"/>
      <c r="G20" s="278"/>
      <c r="H20" s="283"/>
      <c r="I20" s="277"/>
      <c r="N20" s="272"/>
      <c r="O20" s="272"/>
      <c r="P20" s="272"/>
    </row>
    <row r="21" spans="1:16" s="271" customFormat="1" ht="19.5">
      <c r="A21" s="273" t="s">
        <v>245</v>
      </c>
      <c r="B21" s="274" t="s">
        <v>246</v>
      </c>
      <c r="C21" s="273" t="s">
        <v>1051</v>
      </c>
      <c r="D21" s="276">
        <v>0</v>
      </c>
      <c r="E21" s="278"/>
      <c r="F21" s="278"/>
      <c r="G21" s="278"/>
      <c r="H21" s="283"/>
      <c r="I21" s="277"/>
      <c r="N21" s="272"/>
      <c r="O21" s="272"/>
      <c r="P21" s="272"/>
    </row>
    <row r="22" spans="1:16" s="271" customFormat="1" ht="19.5">
      <c r="A22" s="269" t="s">
        <v>247</v>
      </c>
      <c r="B22" s="270" t="s">
        <v>248</v>
      </c>
      <c r="C22" s="269" t="s">
        <v>1051</v>
      </c>
      <c r="D22" s="278">
        <f>D16+D19</f>
        <v>1642.5</v>
      </c>
      <c r="E22" s="275">
        <v>900</v>
      </c>
      <c r="F22" s="275">
        <f>F16+F19</f>
        <v>1600</v>
      </c>
      <c r="G22" s="278">
        <f>F22/E22*100</f>
        <v>177.77777777777777</v>
      </c>
      <c r="H22" s="287">
        <f>H16+H19</f>
        <v>850</v>
      </c>
      <c r="I22" s="277">
        <f>H22/F22</f>
        <v>0.53125</v>
      </c>
      <c r="N22" s="272"/>
      <c r="O22" s="272"/>
      <c r="P22" s="272"/>
    </row>
    <row r="23" spans="1:16" s="271" customFormat="1" ht="19.5">
      <c r="A23" s="269" t="s">
        <v>1095</v>
      </c>
      <c r="B23" s="270" t="s">
        <v>271</v>
      </c>
      <c r="C23" s="269"/>
      <c r="D23" s="278"/>
      <c r="E23" s="866"/>
      <c r="F23" s="867"/>
      <c r="G23" s="867"/>
      <c r="H23" s="867"/>
      <c r="I23" s="868"/>
      <c r="N23" s="272"/>
      <c r="O23" s="272"/>
      <c r="P23" s="272"/>
    </row>
    <row r="24" spans="1:16" s="271" customFormat="1" ht="19.5">
      <c r="A24" s="273" t="s">
        <v>249</v>
      </c>
      <c r="B24" s="274" t="s">
        <v>232</v>
      </c>
      <c r="C24" s="273" t="s">
        <v>233</v>
      </c>
      <c r="D24" s="275">
        <v>25</v>
      </c>
      <c r="E24" s="869"/>
      <c r="F24" s="870"/>
      <c r="G24" s="870"/>
      <c r="H24" s="870"/>
      <c r="I24" s="871"/>
      <c r="N24" s="272"/>
      <c r="O24" s="272"/>
      <c r="P24" s="272"/>
    </row>
    <row r="25" spans="1:16" s="271" customFormat="1" ht="19.5">
      <c r="A25" s="273" t="s">
        <v>250</v>
      </c>
      <c r="B25" s="274" t="s">
        <v>251</v>
      </c>
      <c r="C25" s="273" t="s">
        <v>1051</v>
      </c>
      <c r="D25" s="278">
        <v>104</v>
      </c>
      <c r="E25" s="869"/>
      <c r="F25" s="870"/>
      <c r="G25" s="870"/>
      <c r="H25" s="870"/>
      <c r="I25" s="871"/>
      <c r="N25" s="272"/>
      <c r="O25" s="272"/>
      <c r="P25" s="272"/>
    </row>
    <row r="26" spans="1:16" s="271" customFormat="1" ht="19.5">
      <c r="A26" s="269" t="s">
        <v>252</v>
      </c>
      <c r="B26" s="270" t="s">
        <v>253</v>
      </c>
      <c r="C26" s="269"/>
      <c r="D26" s="278"/>
      <c r="E26" s="869"/>
      <c r="F26" s="870"/>
      <c r="G26" s="870"/>
      <c r="H26" s="870"/>
      <c r="I26" s="871"/>
      <c r="N26" s="272"/>
      <c r="O26" s="272"/>
      <c r="P26" s="272"/>
    </row>
    <row r="27" spans="1:16" s="271" customFormat="1" ht="19.5">
      <c r="A27" s="273" t="s">
        <v>254</v>
      </c>
      <c r="B27" s="274" t="s">
        <v>255</v>
      </c>
      <c r="C27" s="273" t="s">
        <v>233</v>
      </c>
      <c r="D27" s="275">
        <v>88</v>
      </c>
      <c r="E27" s="869"/>
      <c r="F27" s="870"/>
      <c r="G27" s="870"/>
      <c r="H27" s="870"/>
      <c r="I27" s="871"/>
      <c r="N27" s="272"/>
      <c r="O27" s="272"/>
      <c r="P27" s="272"/>
    </row>
    <row r="28" spans="1:16" s="271" customFormat="1" ht="19.5">
      <c r="A28" s="273" t="s">
        <v>256</v>
      </c>
      <c r="B28" s="274" t="s">
        <v>257</v>
      </c>
      <c r="C28" s="273" t="s">
        <v>1051</v>
      </c>
      <c r="D28" s="278">
        <v>946</v>
      </c>
      <c r="E28" s="869"/>
      <c r="F28" s="870"/>
      <c r="G28" s="870"/>
      <c r="H28" s="870"/>
      <c r="I28" s="871"/>
      <c r="N28" s="272"/>
      <c r="O28" s="272"/>
      <c r="P28" s="272"/>
    </row>
    <row r="29" spans="1:16" s="271" customFormat="1" ht="19.5">
      <c r="A29" s="269"/>
      <c r="B29" s="270" t="s">
        <v>272</v>
      </c>
      <c r="C29" s="269"/>
      <c r="D29" s="275"/>
      <c r="E29" s="869"/>
      <c r="F29" s="870"/>
      <c r="G29" s="870"/>
      <c r="H29" s="870"/>
      <c r="I29" s="871"/>
      <c r="N29" s="272"/>
      <c r="O29" s="272"/>
      <c r="P29" s="272"/>
    </row>
    <row r="30" spans="1:16" s="271" customFormat="1" ht="19.5">
      <c r="A30" s="273" t="s">
        <v>258</v>
      </c>
      <c r="B30" s="274" t="s">
        <v>232</v>
      </c>
      <c r="C30" s="273" t="s">
        <v>233</v>
      </c>
      <c r="D30" s="275">
        <v>82</v>
      </c>
      <c r="E30" s="869"/>
      <c r="F30" s="870"/>
      <c r="G30" s="870"/>
      <c r="H30" s="870"/>
      <c r="I30" s="871"/>
      <c r="N30" s="272"/>
      <c r="O30" s="272"/>
      <c r="P30" s="272"/>
    </row>
    <row r="31" spans="1:13" ht="19.5">
      <c r="A31" s="288" t="s">
        <v>259</v>
      </c>
      <c r="B31" s="289" t="s">
        <v>251</v>
      </c>
      <c r="C31" s="288" t="s">
        <v>1051</v>
      </c>
      <c r="D31" s="285">
        <v>848</v>
      </c>
      <c r="E31" s="869"/>
      <c r="F31" s="870"/>
      <c r="G31" s="870"/>
      <c r="H31" s="870"/>
      <c r="I31" s="871"/>
      <c r="J31" s="240"/>
      <c r="K31" s="240"/>
      <c r="L31" s="240"/>
      <c r="M31" s="240"/>
    </row>
    <row r="32" spans="1:13" ht="19.5">
      <c r="A32" s="290"/>
      <c r="B32" s="291" t="s">
        <v>260</v>
      </c>
      <c r="C32" s="290"/>
      <c r="D32" s="275"/>
      <c r="E32" s="869"/>
      <c r="F32" s="870"/>
      <c r="G32" s="870"/>
      <c r="H32" s="870"/>
      <c r="I32" s="871"/>
      <c r="J32" s="240"/>
      <c r="K32" s="240"/>
      <c r="L32" s="240"/>
      <c r="M32" s="240"/>
    </row>
    <row r="33" spans="1:13" ht="19.5">
      <c r="A33" s="288" t="s">
        <v>261</v>
      </c>
      <c r="B33" s="289" t="s">
        <v>232</v>
      </c>
      <c r="C33" s="288" t="s">
        <v>233</v>
      </c>
      <c r="D33" s="275">
        <v>6</v>
      </c>
      <c r="E33" s="869"/>
      <c r="F33" s="870"/>
      <c r="G33" s="870"/>
      <c r="H33" s="870"/>
      <c r="I33" s="871"/>
      <c r="J33" s="240"/>
      <c r="K33" s="240"/>
      <c r="L33" s="240"/>
      <c r="M33" s="240"/>
    </row>
    <row r="34" spans="1:13" ht="19.5">
      <c r="A34" s="288" t="s">
        <v>262</v>
      </c>
      <c r="B34" s="289" t="s">
        <v>263</v>
      </c>
      <c r="C34" s="288" t="s">
        <v>1051</v>
      </c>
      <c r="D34" s="285">
        <v>98</v>
      </c>
      <c r="E34" s="872"/>
      <c r="F34" s="873"/>
      <c r="G34" s="873"/>
      <c r="H34" s="873"/>
      <c r="I34" s="874"/>
      <c r="J34" s="240"/>
      <c r="K34" s="240"/>
      <c r="L34" s="240"/>
      <c r="M34" s="240"/>
    </row>
    <row r="35" spans="1:13" ht="19.5">
      <c r="A35" s="292"/>
      <c r="B35" s="292"/>
      <c r="C35" s="293"/>
      <c r="D35" s="293"/>
      <c r="E35" s="292"/>
      <c r="F35" s="292"/>
      <c r="G35" s="292"/>
      <c r="H35" s="292"/>
      <c r="I35" s="292"/>
      <c r="J35" s="240"/>
      <c r="K35" s="240"/>
      <c r="L35" s="240"/>
      <c r="M35" s="240"/>
    </row>
    <row r="36" spans="1:25" ht="19.5">
      <c r="A36" s="294" t="s">
        <v>264</v>
      </c>
      <c r="B36" s="292"/>
      <c r="C36" s="293"/>
      <c r="D36" s="293"/>
      <c r="E36" s="292"/>
      <c r="F36" s="292"/>
      <c r="G36" s="292"/>
      <c r="H36" s="292"/>
      <c r="I36" s="292"/>
      <c r="J36" s="240"/>
      <c r="K36" s="240"/>
      <c r="L36" s="240"/>
      <c r="M36" s="240"/>
      <c r="N36" s="295"/>
      <c r="O36" s="296"/>
      <c r="P36" s="262"/>
      <c r="Q36" s="262"/>
      <c r="R36" s="261"/>
      <c r="S36" s="261"/>
      <c r="T36" s="261"/>
      <c r="U36" s="261"/>
      <c r="V36" s="261"/>
      <c r="W36" s="261"/>
      <c r="X36" s="261"/>
      <c r="Y36" s="261"/>
    </row>
    <row r="37" spans="1:16" ht="19.5">
      <c r="A37" s="297"/>
      <c r="B37" s="292" t="s">
        <v>265</v>
      </c>
      <c r="C37" s="293"/>
      <c r="D37" s="293"/>
      <c r="E37" s="292"/>
      <c r="F37" s="292"/>
      <c r="G37" s="292"/>
      <c r="H37" s="292"/>
      <c r="I37" s="292"/>
      <c r="J37" s="240"/>
      <c r="K37" s="240"/>
      <c r="L37" s="240"/>
      <c r="M37" s="240"/>
      <c r="N37" s="240"/>
      <c r="O37" s="240"/>
      <c r="P37" s="240"/>
    </row>
    <row r="38" spans="1:16" ht="19.5">
      <c r="A38" s="292"/>
      <c r="B38" s="292" t="s">
        <v>266</v>
      </c>
      <c r="C38" s="293"/>
      <c r="D38" s="293"/>
      <c r="E38" s="292"/>
      <c r="F38" s="292"/>
      <c r="G38" s="292"/>
      <c r="H38" s="292"/>
      <c r="I38" s="292"/>
      <c r="J38" s="240"/>
      <c r="K38" s="240"/>
      <c r="L38" s="240"/>
      <c r="M38" s="240"/>
      <c r="N38" s="240"/>
      <c r="O38" s="240"/>
      <c r="P38" s="240"/>
    </row>
    <row r="39" spans="1:16" ht="19.5">
      <c r="A39" s="292"/>
      <c r="B39" s="292" t="s">
        <v>267</v>
      </c>
      <c r="C39" s="293"/>
      <c r="D39" s="293"/>
      <c r="E39" s="292"/>
      <c r="F39" s="292"/>
      <c r="G39" s="292"/>
      <c r="H39" s="292"/>
      <c r="I39" s="292"/>
      <c r="J39" s="240"/>
      <c r="K39" s="240"/>
      <c r="L39" s="240"/>
      <c r="M39" s="240"/>
      <c r="N39" s="240"/>
      <c r="O39" s="240"/>
      <c r="P39" s="240"/>
    </row>
    <row r="40" spans="1:16" ht="19.5">
      <c r="A40" s="292"/>
      <c r="B40" s="292" t="s">
        <v>268</v>
      </c>
      <c r="C40" s="293"/>
      <c r="D40" s="293"/>
      <c r="E40" s="292"/>
      <c r="F40" s="292"/>
      <c r="G40" s="292"/>
      <c r="H40" s="292"/>
      <c r="I40" s="292"/>
      <c r="J40" s="240"/>
      <c r="K40" s="240"/>
      <c r="L40" s="240"/>
      <c r="M40" s="240"/>
      <c r="N40" s="240"/>
      <c r="O40" s="240"/>
      <c r="P40" s="240"/>
    </row>
    <row r="41" spans="1:16" ht="19.5">
      <c r="A41" s="292"/>
      <c r="B41" s="292"/>
      <c r="C41" s="293"/>
      <c r="D41" s="293"/>
      <c r="E41" s="292"/>
      <c r="F41" s="292"/>
      <c r="G41" s="292"/>
      <c r="H41" s="292"/>
      <c r="I41" s="292"/>
      <c r="J41" s="240"/>
      <c r="K41" s="240"/>
      <c r="L41" s="240"/>
      <c r="M41" s="240"/>
      <c r="N41" s="240"/>
      <c r="O41" s="240"/>
      <c r="P41" s="240"/>
    </row>
    <row r="42" spans="1:16" ht="19.5">
      <c r="A42" s="240"/>
      <c r="B42" s="240"/>
      <c r="C42" s="240"/>
      <c r="D42" s="240"/>
      <c r="E42" s="240"/>
      <c r="F42" s="240"/>
      <c r="G42" s="240"/>
      <c r="H42" s="240"/>
      <c r="I42" s="240"/>
      <c r="J42" s="240"/>
      <c r="K42" s="240"/>
      <c r="L42" s="240"/>
      <c r="M42" s="240"/>
      <c r="N42" s="240"/>
      <c r="O42" s="240"/>
      <c r="P42" s="240"/>
    </row>
    <row r="43" spans="1:16" ht="19.5">
      <c r="A43" s="240"/>
      <c r="B43" s="240"/>
      <c r="C43" s="240"/>
      <c r="D43" s="240"/>
      <c r="E43" s="240"/>
      <c r="F43" s="240"/>
      <c r="G43" s="240"/>
      <c r="H43" s="240"/>
      <c r="I43" s="240"/>
      <c r="J43" s="240"/>
      <c r="K43" s="240"/>
      <c r="L43" s="240"/>
      <c r="M43" s="240"/>
      <c r="N43" s="240"/>
      <c r="O43" s="240"/>
      <c r="P43" s="240"/>
    </row>
    <row r="44" spans="1:16" ht="19.5">
      <c r="A44" s="240"/>
      <c r="B44" s="240"/>
      <c r="C44" s="240"/>
      <c r="D44" s="240"/>
      <c r="E44" s="240"/>
      <c r="F44" s="240"/>
      <c r="G44" s="240"/>
      <c r="H44" s="240"/>
      <c r="I44" s="240"/>
      <c r="J44" s="240"/>
      <c r="K44" s="240"/>
      <c r="L44" s="240"/>
      <c r="M44" s="240"/>
      <c r="N44" s="240"/>
      <c r="O44" s="240"/>
      <c r="P44" s="240"/>
    </row>
    <row r="45" spans="1:16" ht="19.5">
      <c r="A45" s="240"/>
      <c r="B45" s="240"/>
      <c r="C45" s="240"/>
      <c r="D45" s="240"/>
      <c r="E45" s="240"/>
      <c r="F45" s="240"/>
      <c r="G45" s="240"/>
      <c r="H45" s="240"/>
      <c r="I45" s="240"/>
      <c r="J45" s="240"/>
      <c r="K45" s="240"/>
      <c r="L45" s="240"/>
      <c r="M45" s="240"/>
      <c r="N45" s="240"/>
      <c r="O45" s="240"/>
      <c r="P45" s="240"/>
    </row>
    <row r="46" spans="1:16" ht="19.5">
      <c r="A46" s="240"/>
      <c r="B46" s="240"/>
      <c r="C46" s="240"/>
      <c r="D46" s="240"/>
      <c r="E46" s="240"/>
      <c r="F46" s="240"/>
      <c r="G46" s="240"/>
      <c r="H46" s="240"/>
      <c r="I46" s="240"/>
      <c r="J46" s="240"/>
      <c r="K46" s="240"/>
      <c r="L46" s="240"/>
      <c r="M46" s="240"/>
      <c r="N46" s="240"/>
      <c r="O46" s="240"/>
      <c r="P46" s="240"/>
    </row>
    <row r="47" spans="1:16" ht="19.5">
      <c r="A47" s="240"/>
      <c r="B47" s="240"/>
      <c r="C47" s="240"/>
      <c r="D47" s="240"/>
      <c r="E47" s="240"/>
      <c r="F47" s="240"/>
      <c r="G47" s="240"/>
      <c r="H47" s="240"/>
      <c r="I47" s="240"/>
      <c r="J47" s="240"/>
      <c r="K47" s="240"/>
      <c r="L47" s="240"/>
      <c r="M47" s="240"/>
      <c r="N47" s="240"/>
      <c r="O47" s="240"/>
      <c r="P47" s="240"/>
    </row>
    <row r="48" spans="1:16" ht="19.5">
      <c r="A48" s="240"/>
      <c r="B48" s="240"/>
      <c r="C48" s="240"/>
      <c r="D48" s="240"/>
      <c r="E48" s="240"/>
      <c r="F48" s="240"/>
      <c r="G48" s="240"/>
      <c r="H48" s="240"/>
      <c r="I48" s="240"/>
      <c r="J48" s="240"/>
      <c r="K48" s="240"/>
      <c r="L48" s="240"/>
      <c r="M48" s="240"/>
      <c r="N48" s="240"/>
      <c r="O48" s="240"/>
      <c r="P48" s="240"/>
    </row>
    <row r="49" spans="1:16" ht="19.5">
      <c r="A49" s="240"/>
      <c r="B49" s="240"/>
      <c r="C49" s="240"/>
      <c r="D49" s="240"/>
      <c r="E49" s="240"/>
      <c r="F49" s="240"/>
      <c r="G49" s="240"/>
      <c r="H49" s="240"/>
      <c r="I49" s="240"/>
      <c r="J49" s="240"/>
      <c r="K49" s="240"/>
      <c r="L49" s="240"/>
      <c r="M49" s="240"/>
      <c r="N49" s="240"/>
      <c r="O49" s="240"/>
      <c r="P49" s="240"/>
    </row>
    <row r="50" spans="1:16" ht="19.5">
      <c r="A50" s="240"/>
      <c r="B50" s="240"/>
      <c r="C50" s="240"/>
      <c r="D50" s="240"/>
      <c r="E50" s="240"/>
      <c r="F50" s="240"/>
      <c r="G50" s="240"/>
      <c r="H50" s="240"/>
      <c r="I50" s="240"/>
      <c r="J50" s="240"/>
      <c r="K50" s="240"/>
      <c r="L50" s="240"/>
      <c r="M50" s="240"/>
      <c r="N50" s="240"/>
      <c r="O50" s="240"/>
      <c r="P50" s="240"/>
    </row>
    <row r="51" spans="1:16" ht="19.5">
      <c r="A51" s="240"/>
      <c r="B51" s="240"/>
      <c r="C51" s="240"/>
      <c r="D51" s="240"/>
      <c r="E51" s="240"/>
      <c r="F51" s="240"/>
      <c r="G51" s="240"/>
      <c r="H51" s="240"/>
      <c r="I51" s="240"/>
      <c r="J51" s="240"/>
      <c r="K51" s="240"/>
      <c r="L51" s="240"/>
      <c r="M51" s="240"/>
      <c r="N51" s="240"/>
      <c r="O51" s="240"/>
      <c r="P51" s="240"/>
    </row>
    <row r="52" spans="1:16" ht="19.5">
      <c r="A52" s="240"/>
      <c r="B52" s="240"/>
      <c r="C52" s="240"/>
      <c r="D52" s="240"/>
      <c r="E52" s="240"/>
      <c r="F52" s="240"/>
      <c r="G52" s="240"/>
      <c r="H52" s="240"/>
      <c r="I52" s="240"/>
      <c r="J52" s="240"/>
      <c r="K52" s="240"/>
      <c r="L52" s="240"/>
      <c r="M52" s="240"/>
      <c r="N52" s="240"/>
      <c r="O52" s="240"/>
      <c r="P52" s="240"/>
    </row>
    <row r="53" spans="1:16" ht="19.5">
      <c r="A53" s="240"/>
      <c r="B53" s="240"/>
      <c r="C53" s="240"/>
      <c r="D53" s="240"/>
      <c r="E53" s="240"/>
      <c r="F53" s="240"/>
      <c r="G53" s="240"/>
      <c r="H53" s="240"/>
      <c r="I53" s="240"/>
      <c r="J53" s="240"/>
      <c r="K53" s="240"/>
      <c r="L53" s="240"/>
      <c r="M53" s="240"/>
      <c r="N53" s="240"/>
      <c r="O53" s="240"/>
      <c r="P53" s="240"/>
    </row>
    <row r="54" spans="1:16" ht="19.5">
      <c r="A54" s="240"/>
      <c r="B54" s="240"/>
      <c r="C54" s="240"/>
      <c r="D54" s="240"/>
      <c r="E54" s="240"/>
      <c r="F54" s="240"/>
      <c r="G54" s="240"/>
      <c r="H54" s="240"/>
      <c r="I54" s="240"/>
      <c r="J54" s="240"/>
      <c r="K54" s="240"/>
      <c r="L54" s="240"/>
      <c r="M54" s="240"/>
      <c r="N54" s="240"/>
      <c r="O54" s="240"/>
      <c r="P54" s="240"/>
    </row>
    <row r="55" spans="1:16" ht="19.5">
      <c r="A55" s="240"/>
      <c r="B55" s="240"/>
      <c r="C55" s="240"/>
      <c r="D55" s="240"/>
      <c r="E55" s="240"/>
      <c r="F55" s="240"/>
      <c r="G55" s="240"/>
      <c r="H55" s="240"/>
      <c r="I55" s="240"/>
      <c r="J55" s="240"/>
      <c r="K55" s="240"/>
      <c r="L55" s="240"/>
      <c r="M55" s="240"/>
      <c r="N55" s="240"/>
      <c r="O55" s="240"/>
      <c r="P55" s="240"/>
    </row>
    <row r="56" spans="1:16" ht="19.5">
      <c r="A56" s="240"/>
      <c r="B56" s="240"/>
      <c r="C56" s="240"/>
      <c r="D56" s="240"/>
      <c r="E56" s="240"/>
      <c r="F56" s="240"/>
      <c r="G56" s="240"/>
      <c r="H56" s="240"/>
      <c r="I56" s="240"/>
      <c r="J56" s="240"/>
      <c r="K56" s="240"/>
      <c r="L56" s="240"/>
      <c r="M56" s="240"/>
      <c r="N56" s="240"/>
      <c r="O56" s="240"/>
      <c r="P56" s="240"/>
    </row>
    <row r="57" spans="1:16" ht="19.5">
      <c r="A57" s="240"/>
      <c r="B57" s="240"/>
      <c r="C57" s="240"/>
      <c r="D57" s="240"/>
      <c r="E57" s="240"/>
      <c r="F57" s="240"/>
      <c r="G57" s="240"/>
      <c r="H57" s="240"/>
      <c r="I57" s="240"/>
      <c r="J57" s="240"/>
      <c r="K57" s="240"/>
      <c r="L57" s="240"/>
      <c r="M57" s="240"/>
      <c r="N57" s="240"/>
      <c r="O57" s="240"/>
      <c r="P57" s="240"/>
    </row>
    <row r="58" spans="1:16" ht="19.5">
      <c r="A58" s="240"/>
      <c r="B58" s="240"/>
      <c r="C58" s="240"/>
      <c r="D58" s="240"/>
      <c r="E58" s="240"/>
      <c r="F58" s="240"/>
      <c r="G58" s="240"/>
      <c r="H58" s="240"/>
      <c r="I58" s="240"/>
      <c r="J58" s="240"/>
      <c r="K58" s="240"/>
      <c r="L58" s="240"/>
      <c r="M58" s="240"/>
      <c r="N58" s="240"/>
      <c r="O58" s="240"/>
      <c r="P58" s="240"/>
    </row>
    <row r="59" spans="1:16" ht="19.5">
      <c r="A59" s="240"/>
      <c r="B59" s="240"/>
      <c r="C59" s="240"/>
      <c r="D59" s="240"/>
      <c r="E59" s="240"/>
      <c r="F59" s="240"/>
      <c r="G59" s="240"/>
      <c r="H59" s="240"/>
      <c r="I59" s="240"/>
      <c r="J59" s="240"/>
      <c r="K59" s="240"/>
      <c r="L59" s="240"/>
      <c r="M59" s="240"/>
      <c r="N59" s="240"/>
      <c r="O59" s="240"/>
      <c r="P59" s="240"/>
    </row>
    <row r="60" spans="1:16" ht="19.5">
      <c r="A60" s="240"/>
      <c r="B60" s="240"/>
      <c r="C60" s="240"/>
      <c r="D60" s="240"/>
      <c r="E60" s="240"/>
      <c r="F60" s="240"/>
      <c r="G60" s="240"/>
      <c r="H60" s="240"/>
      <c r="I60" s="240"/>
      <c r="J60" s="240"/>
      <c r="K60" s="240"/>
      <c r="L60" s="240"/>
      <c r="M60" s="240"/>
      <c r="N60" s="240"/>
      <c r="O60" s="240"/>
      <c r="P60" s="240"/>
    </row>
    <row r="61" spans="1:16" ht="19.5">
      <c r="A61" s="240"/>
      <c r="B61" s="240"/>
      <c r="C61" s="240"/>
      <c r="D61" s="240"/>
      <c r="E61" s="240"/>
      <c r="F61" s="240"/>
      <c r="G61" s="240"/>
      <c r="H61" s="240"/>
      <c r="I61" s="240"/>
      <c r="J61" s="240"/>
      <c r="K61" s="240"/>
      <c r="L61" s="240"/>
      <c r="M61" s="240"/>
      <c r="N61" s="240"/>
      <c r="O61" s="240"/>
      <c r="P61" s="240"/>
    </row>
    <row r="62" spans="1:16" ht="19.5">
      <c r="A62" s="240"/>
      <c r="B62" s="240"/>
      <c r="C62" s="240"/>
      <c r="D62" s="240"/>
      <c r="E62" s="240"/>
      <c r="F62" s="240"/>
      <c r="G62" s="240"/>
      <c r="H62" s="240"/>
      <c r="I62" s="240"/>
      <c r="J62" s="240"/>
      <c r="K62" s="240"/>
      <c r="L62" s="240"/>
      <c r="M62" s="240"/>
      <c r="N62" s="240"/>
      <c r="O62" s="240"/>
      <c r="P62" s="240"/>
    </row>
    <row r="63" spans="1:16" ht="19.5">
      <c r="A63" s="240"/>
      <c r="B63" s="240"/>
      <c r="C63" s="240"/>
      <c r="D63" s="240"/>
      <c r="E63" s="240"/>
      <c r="F63" s="240"/>
      <c r="G63" s="240"/>
      <c r="H63" s="240"/>
      <c r="I63" s="240"/>
      <c r="J63" s="240"/>
      <c r="K63" s="240"/>
      <c r="L63" s="240"/>
      <c r="M63" s="240"/>
      <c r="N63" s="240"/>
      <c r="O63" s="240"/>
      <c r="P63" s="240"/>
    </row>
    <row r="64" spans="1:16" ht="19.5">
      <c r="A64" s="240"/>
      <c r="B64" s="240"/>
      <c r="C64" s="240"/>
      <c r="D64" s="240"/>
      <c r="E64" s="240"/>
      <c r="F64" s="240"/>
      <c r="G64" s="240"/>
      <c r="H64" s="240"/>
      <c r="I64" s="240"/>
      <c r="J64" s="240"/>
      <c r="K64" s="240"/>
      <c r="L64" s="240"/>
      <c r="M64" s="240"/>
      <c r="N64" s="240"/>
      <c r="O64" s="240"/>
      <c r="P64" s="240"/>
    </row>
    <row r="65" spans="1:16" ht="19.5">
      <c r="A65" s="240"/>
      <c r="B65" s="240"/>
      <c r="C65" s="240"/>
      <c r="D65" s="240"/>
      <c r="E65" s="240"/>
      <c r="F65" s="240"/>
      <c r="G65" s="240"/>
      <c r="H65" s="240"/>
      <c r="I65" s="240"/>
      <c r="J65" s="240"/>
      <c r="K65" s="240"/>
      <c r="L65" s="240"/>
      <c r="M65" s="240"/>
      <c r="N65" s="240"/>
      <c r="O65" s="240"/>
      <c r="P65" s="240"/>
    </row>
    <row r="66" spans="1:16" ht="19.5">
      <c r="A66" s="240"/>
      <c r="B66" s="240"/>
      <c r="C66" s="240"/>
      <c r="D66" s="240"/>
      <c r="E66" s="240"/>
      <c r="F66" s="240"/>
      <c r="G66" s="240"/>
      <c r="H66" s="240"/>
      <c r="I66" s="240"/>
      <c r="J66" s="240"/>
      <c r="K66" s="240"/>
      <c r="L66" s="240"/>
      <c r="M66" s="240"/>
      <c r="N66" s="240"/>
      <c r="O66" s="240"/>
      <c r="P66" s="240"/>
    </row>
    <row r="67" spans="1:16" ht="19.5">
      <c r="A67" s="240"/>
      <c r="B67" s="240"/>
      <c r="C67" s="240"/>
      <c r="D67" s="240"/>
      <c r="E67" s="240"/>
      <c r="F67" s="240"/>
      <c r="G67" s="240"/>
      <c r="H67" s="240"/>
      <c r="I67" s="240"/>
      <c r="J67" s="240"/>
      <c r="K67" s="240"/>
      <c r="L67" s="240"/>
      <c r="M67" s="240"/>
      <c r="N67" s="240"/>
      <c r="O67" s="240"/>
      <c r="P67" s="240"/>
    </row>
    <row r="68" spans="1:16" ht="19.5">
      <c r="A68" s="240"/>
      <c r="B68" s="240"/>
      <c r="C68" s="240"/>
      <c r="D68" s="240"/>
      <c r="E68" s="240"/>
      <c r="F68" s="240"/>
      <c r="G68" s="240"/>
      <c r="H68" s="240"/>
      <c r="I68" s="240"/>
      <c r="J68" s="240"/>
      <c r="K68" s="240"/>
      <c r="L68" s="240"/>
      <c r="M68" s="240"/>
      <c r="N68" s="240"/>
      <c r="O68" s="240"/>
      <c r="P68" s="240"/>
    </row>
    <row r="69" spans="1:16" ht="19.5">
      <c r="A69" s="240"/>
      <c r="B69" s="240"/>
      <c r="C69" s="240"/>
      <c r="D69" s="240"/>
      <c r="E69" s="240"/>
      <c r="F69" s="240"/>
      <c r="G69" s="240"/>
      <c r="H69" s="240"/>
      <c r="I69" s="240"/>
      <c r="J69" s="240"/>
      <c r="K69" s="240"/>
      <c r="L69" s="240"/>
      <c r="M69" s="240"/>
      <c r="N69" s="240"/>
      <c r="O69" s="240"/>
      <c r="P69" s="240"/>
    </row>
    <row r="70" spans="1:16" ht="19.5">
      <c r="A70" s="240"/>
      <c r="B70" s="240"/>
      <c r="C70" s="240"/>
      <c r="D70" s="240"/>
      <c r="E70" s="240"/>
      <c r="F70" s="240"/>
      <c r="G70" s="240"/>
      <c r="H70" s="240"/>
      <c r="I70" s="240"/>
      <c r="J70" s="240"/>
      <c r="K70" s="240"/>
      <c r="L70" s="240"/>
      <c r="M70" s="240"/>
      <c r="N70" s="240"/>
      <c r="O70" s="240"/>
      <c r="P70" s="240"/>
    </row>
    <row r="71" spans="1:16" ht="19.5">
      <c r="A71" s="240"/>
      <c r="B71" s="240"/>
      <c r="C71" s="240"/>
      <c r="D71" s="240"/>
      <c r="E71" s="240"/>
      <c r="F71" s="240"/>
      <c r="G71" s="240"/>
      <c r="H71" s="240"/>
      <c r="I71" s="240"/>
      <c r="J71" s="240"/>
      <c r="K71" s="240"/>
      <c r="L71" s="240"/>
      <c r="M71" s="240"/>
      <c r="N71" s="240"/>
      <c r="O71" s="240"/>
      <c r="P71" s="240"/>
    </row>
    <row r="72" spans="1:16" ht="19.5">
      <c r="A72" s="240"/>
      <c r="B72" s="240"/>
      <c r="C72" s="240"/>
      <c r="D72" s="240"/>
      <c r="E72" s="240"/>
      <c r="F72" s="240"/>
      <c r="G72" s="240"/>
      <c r="H72" s="240"/>
      <c r="I72" s="240"/>
      <c r="J72" s="240"/>
      <c r="K72" s="240"/>
      <c r="L72" s="240"/>
      <c r="M72" s="240"/>
      <c r="N72" s="240"/>
      <c r="O72" s="240"/>
      <c r="P72" s="240"/>
    </row>
    <row r="73" spans="1:16" ht="19.5">
      <c r="A73" s="240"/>
      <c r="B73" s="240"/>
      <c r="C73" s="240"/>
      <c r="D73" s="240"/>
      <c r="E73" s="240"/>
      <c r="F73" s="240"/>
      <c r="G73" s="240"/>
      <c r="H73" s="240"/>
      <c r="I73" s="240"/>
      <c r="J73" s="240"/>
      <c r="K73" s="240"/>
      <c r="L73" s="240"/>
      <c r="M73" s="240"/>
      <c r="N73" s="240"/>
      <c r="O73" s="240"/>
      <c r="P73" s="240"/>
    </row>
    <row r="74" spans="1:16" ht="19.5">
      <c r="A74" s="240"/>
      <c r="B74" s="240"/>
      <c r="C74" s="240"/>
      <c r="D74" s="240"/>
      <c r="E74" s="240"/>
      <c r="F74" s="240"/>
      <c r="G74" s="240"/>
      <c r="H74" s="240"/>
      <c r="I74" s="240"/>
      <c r="J74" s="240"/>
      <c r="K74" s="240"/>
      <c r="L74" s="240"/>
      <c r="M74" s="240"/>
      <c r="N74" s="240"/>
      <c r="O74" s="240"/>
      <c r="P74" s="240"/>
    </row>
    <row r="75" spans="1:16" ht="19.5">
      <c r="A75" s="240"/>
      <c r="B75" s="240"/>
      <c r="C75" s="240"/>
      <c r="D75" s="240"/>
      <c r="E75" s="240"/>
      <c r="F75" s="240"/>
      <c r="G75" s="240"/>
      <c r="H75" s="240"/>
      <c r="I75" s="240"/>
      <c r="J75" s="240"/>
      <c r="K75" s="240"/>
      <c r="L75" s="240"/>
      <c r="M75" s="240"/>
      <c r="N75" s="240"/>
      <c r="O75" s="240"/>
      <c r="P75" s="240"/>
    </row>
    <row r="76" spans="1:16" ht="19.5">
      <c r="A76" s="240"/>
      <c r="B76" s="240"/>
      <c r="C76" s="240"/>
      <c r="D76" s="240"/>
      <c r="E76" s="240"/>
      <c r="F76" s="240"/>
      <c r="G76" s="240"/>
      <c r="H76" s="240"/>
      <c r="I76" s="240"/>
      <c r="J76" s="240"/>
      <c r="K76" s="240"/>
      <c r="L76" s="240"/>
      <c r="M76" s="240"/>
      <c r="N76" s="240"/>
      <c r="O76" s="240"/>
      <c r="P76" s="240"/>
    </row>
    <row r="77" spans="1:16" ht="19.5">
      <c r="A77" s="240"/>
      <c r="B77" s="240"/>
      <c r="C77" s="240"/>
      <c r="D77" s="240"/>
      <c r="E77" s="240"/>
      <c r="F77" s="240"/>
      <c r="G77" s="240"/>
      <c r="H77" s="240"/>
      <c r="I77" s="240"/>
      <c r="J77" s="240"/>
      <c r="K77" s="240"/>
      <c r="L77" s="240"/>
      <c r="M77" s="240"/>
      <c r="N77" s="240"/>
      <c r="O77" s="240"/>
      <c r="P77" s="240"/>
    </row>
    <row r="78" spans="1:16" ht="19.5">
      <c r="A78" s="240"/>
      <c r="B78" s="240"/>
      <c r="C78" s="240"/>
      <c r="D78" s="240"/>
      <c r="E78" s="240"/>
      <c r="F78" s="240"/>
      <c r="G78" s="240"/>
      <c r="H78" s="240"/>
      <c r="I78" s="240"/>
      <c r="J78" s="240"/>
      <c r="K78" s="240"/>
      <c r="L78" s="240"/>
      <c r="M78" s="240"/>
      <c r="N78" s="240"/>
      <c r="O78" s="240"/>
      <c r="P78" s="240"/>
    </row>
    <row r="79" spans="1:16" ht="19.5">
      <c r="A79" s="240"/>
      <c r="B79" s="240"/>
      <c r="C79" s="240"/>
      <c r="D79" s="240"/>
      <c r="E79" s="240"/>
      <c r="F79" s="240"/>
      <c r="G79" s="240"/>
      <c r="H79" s="240"/>
      <c r="I79" s="240"/>
      <c r="J79" s="240"/>
      <c r="K79" s="240"/>
      <c r="L79" s="240"/>
      <c r="M79" s="240"/>
      <c r="N79" s="240"/>
      <c r="O79" s="240"/>
      <c r="P79" s="240"/>
    </row>
    <row r="80" spans="1:16" ht="19.5">
      <c r="A80" s="240"/>
      <c r="B80" s="240"/>
      <c r="C80" s="240"/>
      <c r="D80" s="240"/>
      <c r="E80" s="240"/>
      <c r="F80" s="240"/>
      <c r="G80" s="240"/>
      <c r="H80" s="240"/>
      <c r="I80" s="240"/>
      <c r="J80" s="240"/>
      <c r="K80" s="240"/>
      <c r="L80" s="240"/>
      <c r="M80" s="240"/>
      <c r="N80" s="240"/>
      <c r="O80" s="240"/>
      <c r="P80" s="240"/>
    </row>
    <row r="81" spans="1:16" ht="19.5">
      <c r="A81" s="240"/>
      <c r="B81" s="240"/>
      <c r="C81" s="240"/>
      <c r="D81" s="240"/>
      <c r="E81" s="240"/>
      <c r="F81" s="240"/>
      <c r="G81" s="240"/>
      <c r="H81" s="240"/>
      <c r="I81" s="240"/>
      <c r="J81" s="240"/>
      <c r="K81" s="240"/>
      <c r="L81" s="240"/>
      <c r="M81" s="240"/>
      <c r="N81" s="240"/>
      <c r="O81" s="240"/>
      <c r="P81" s="240"/>
    </row>
    <row r="82" spans="1:16" ht="19.5">
      <c r="A82" s="240"/>
      <c r="B82" s="240"/>
      <c r="C82" s="240"/>
      <c r="D82" s="240"/>
      <c r="E82" s="240"/>
      <c r="F82" s="240"/>
      <c r="G82" s="240"/>
      <c r="H82" s="240"/>
      <c r="I82" s="240"/>
      <c r="J82" s="240"/>
      <c r="K82" s="240"/>
      <c r="L82" s="240"/>
      <c r="M82" s="240"/>
      <c r="N82" s="240"/>
      <c r="O82" s="240"/>
      <c r="P82" s="240"/>
    </row>
    <row r="83" spans="1:16" ht="19.5">
      <c r="A83" s="240"/>
      <c r="B83" s="240"/>
      <c r="C83" s="240"/>
      <c r="D83" s="240"/>
      <c r="E83" s="240"/>
      <c r="F83" s="240"/>
      <c r="G83" s="240"/>
      <c r="H83" s="240"/>
      <c r="I83" s="240"/>
      <c r="J83" s="240"/>
      <c r="K83" s="240"/>
      <c r="L83" s="240"/>
      <c r="M83" s="240"/>
      <c r="N83" s="240"/>
      <c r="O83" s="240"/>
      <c r="P83" s="240"/>
    </row>
    <row r="84" spans="1:16" ht="19.5">
      <c r="A84" s="240"/>
      <c r="B84" s="240"/>
      <c r="C84" s="240"/>
      <c r="D84" s="240"/>
      <c r="E84" s="240"/>
      <c r="F84" s="240"/>
      <c r="G84" s="240"/>
      <c r="H84" s="240"/>
      <c r="I84" s="240"/>
      <c r="J84" s="240"/>
      <c r="K84" s="240"/>
      <c r="L84" s="240"/>
      <c r="M84" s="240"/>
      <c r="N84" s="240"/>
      <c r="O84" s="240"/>
      <c r="P84" s="240"/>
    </row>
    <row r="85" spans="1:16" ht="19.5">
      <c r="A85" s="240"/>
      <c r="B85" s="240"/>
      <c r="C85" s="240"/>
      <c r="D85" s="240"/>
      <c r="E85" s="240"/>
      <c r="F85" s="240"/>
      <c r="G85" s="240"/>
      <c r="H85" s="240"/>
      <c r="I85" s="240"/>
      <c r="J85" s="240"/>
      <c r="K85" s="240"/>
      <c r="L85" s="240"/>
      <c r="M85" s="240"/>
      <c r="N85" s="240"/>
      <c r="O85" s="240"/>
      <c r="P85" s="240"/>
    </row>
    <row r="86" spans="1:16" ht="19.5">
      <c r="A86" s="240"/>
      <c r="B86" s="240"/>
      <c r="C86" s="240"/>
      <c r="D86" s="240"/>
      <c r="E86" s="240"/>
      <c r="F86" s="240"/>
      <c r="G86" s="240"/>
      <c r="H86" s="240"/>
      <c r="I86" s="240"/>
      <c r="J86" s="240"/>
      <c r="K86" s="240"/>
      <c r="L86" s="240"/>
      <c r="M86" s="240"/>
      <c r="N86" s="240"/>
      <c r="O86" s="240"/>
      <c r="P86" s="240"/>
    </row>
    <row r="87" spans="1:16" ht="19.5">
      <c r="A87" s="240"/>
      <c r="B87" s="240"/>
      <c r="C87" s="240"/>
      <c r="D87" s="240"/>
      <c r="E87" s="240"/>
      <c r="F87" s="240"/>
      <c r="G87" s="240"/>
      <c r="H87" s="240"/>
      <c r="I87" s="240"/>
      <c r="J87" s="240"/>
      <c r="K87" s="240"/>
      <c r="L87" s="240"/>
      <c r="M87" s="240"/>
      <c r="N87" s="240"/>
      <c r="O87" s="240"/>
      <c r="P87" s="240"/>
    </row>
    <row r="88" spans="1:16" ht="19.5">
      <c r="A88" s="240"/>
      <c r="B88" s="240"/>
      <c r="C88" s="240"/>
      <c r="D88" s="240"/>
      <c r="E88" s="240"/>
      <c r="F88" s="240"/>
      <c r="G88" s="240"/>
      <c r="H88" s="240"/>
      <c r="I88" s="240"/>
      <c r="J88" s="240"/>
      <c r="K88" s="240"/>
      <c r="L88" s="240"/>
      <c r="M88" s="240"/>
      <c r="N88" s="240"/>
      <c r="O88" s="240"/>
      <c r="P88" s="240"/>
    </row>
    <row r="89" spans="1:16" ht="19.5">
      <c r="A89" s="240"/>
      <c r="B89" s="240"/>
      <c r="C89" s="240"/>
      <c r="D89" s="240"/>
      <c r="E89" s="240"/>
      <c r="F89" s="240"/>
      <c r="G89" s="240"/>
      <c r="H89" s="240"/>
      <c r="I89" s="240"/>
      <c r="J89" s="240"/>
      <c r="K89" s="240"/>
      <c r="L89" s="240"/>
      <c r="M89" s="240"/>
      <c r="N89" s="240"/>
      <c r="O89" s="240"/>
      <c r="P89" s="240"/>
    </row>
    <row r="90" spans="1:16" ht="19.5">
      <c r="A90" s="240"/>
      <c r="B90" s="240"/>
      <c r="C90" s="240"/>
      <c r="D90" s="240"/>
      <c r="E90" s="240"/>
      <c r="F90" s="240"/>
      <c r="G90" s="240"/>
      <c r="H90" s="240"/>
      <c r="I90" s="240"/>
      <c r="J90" s="240"/>
      <c r="K90" s="240"/>
      <c r="L90" s="240"/>
      <c r="M90" s="240"/>
      <c r="N90" s="240"/>
      <c r="O90" s="240"/>
      <c r="P90" s="240"/>
    </row>
    <row r="91" spans="1:16" ht="19.5">
      <c r="A91" s="240"/>
      <c r="B91" s="240"/>
      <c r="C91" s="240"/>
      <c r="D91" s="240"/>
      <c r="E91" s="240"/>
      <c r="F91" s="240"/>
      <c r="G91" s="240"/>
      <c r="H91" s="240"/>
      <c r="I91" s="240"/>
      <c r="J91" s="240"/>
      <c r="K91" s="240"/>
      <c r="L91" s="240"/>
      <c r="M91" s="240"/>
      <c r="N91" s="240"/>
      <c r="O91" s="240"/>
      <c r="P91" s="240"/>
    </row>
    <row r="92" spans="1:16" ht="19.5">
      <c r="A92" s="240"/>
      <c r="B92" s="240"/>
      <c r="C92" s="240"/>
      <c r="D92" s="240"/>
      <c r="E92" s="240"/>
      <c r="F92" s="240"/>
      <c r="G92" s="240"/>
      <c r="H92" s="240"/>
      <c r="I92" s="240"/>
      <c r="J92" s="240"/>
      <c r="K92" s="240"/>
      <c r="L92" s="240"/>
      <c r="M92" s="240"/>
      <c r="N92" s="240"/>
      <c r="O92" s="240"/>
      <c r="P92" s="240"/>
    </row>
    <row r="93" spans="1:16" ht="19.5">
      <c r="A93" s="240"/>
      <c r="B93" s="240"/>
      <c r="C93" s="240"/>
      <c r="D93" s="240"/>
      <c r="E93" s="240"/>
      <c r="F93" s="240"/>
      <c r="G93" s="240"/>
      <c r="H93" s="240"/>
      <c r="I93" s="240"/>
      <c r="J93" s="240"/>
      <c r="K93" s="240"/>
      <c r="L93" s="240"/>
      <c r="M93" s="240"/>
      <c r="N93" s="240"/>
      <c r="O93" s="240"/>
      <c r="P93" s="240"/>
    </row>
    <row r="94" spans="1:16" ht="19.5">
      <c r="A94" s="240"/>
      <c r="B94" s="240"/>
      <c r="C94" s="240"/>
      <c r="D94" s="240"/>
      <c r="E94" s="240"/>
      <c r="F94" s="240"/>
      <c r="G94" s="240"/>
      <c r="H94" s="240"/>
      <c r="I94" s="240"/>
      <c r="J94" s="240"/>
      <c r="K94" s="240"/>
      <c r="L94" s="240"/>
      <c r="M94" s="240"/>
      <c r="N94" s="240"/>
      <c r="O94" s="240"/>
      <c r="P94" s="240"/>
    </row>
    <row r="95" spans="1:16" ht="19.5">
      <c r="A95" s="240"/>
      <c r="B95" s="240"/>
      <c r="C95" s="240"/>
      <c r="D95" s="240"/>
      <c r="E95" s="240"/>
      <c r="F95" s="240"/>
      <c r="G95" s="240"/>
      <c r="H95" s="240"/>
      <c r="I95" s="240"/>
      <c r="J95" s="240"/>
      <c r="K95" s="240"/>
      <c r="L95" s="240"/>
      <c r="M95" s="240"/>
      <c r="N95" s="240"/>
      <c r="O95" s="240"/>
      <c r="P95" s="240"/>
    </row>
    <row r="96" spans="1:16" ht="19.5">
      <c r="A96" s="240"/>
      <c r="B96" s="240"/>
      <c r="C96" s="240"/>
      <c r="D96" s="240"/>
      <c r="E96" s="240"/>
      <c r="F96" s="240"/>
      <c r="G96" s="240"/>
      <c r="H96" s="240"/>
      <c r="I96" s="240"/>
      <c r="J96" s="240"/>
      <c r="K96" s="240"/>
      <c r="L96" s="240"/>
      <c r="M96" s="240"/>
      <c r="N96" s="240"/>
      <c r="O96" s="240"/>
      <c r="P96" s="240"/>
    </row>
    <row r="97" spans="1:16" ht="19.5">
      <c r="A97" s="240"/>
      <c r="B97" s="240"/>
      <c r="C97" s="240"/>
      <c r="D97" s="240"/>
      <c r="E97" s="240"/>
      <c r="F97" s="240"/>
      <c r="G97" s="240"/>
      <c r="H97" s="240"/>
      <c r="I97" s="240"/>
      <c r="J97" s="240"/>
      <c r="K97" s="240"/>
      <c r="L97" s="240"/>
      <c r="M97" s="240"/>
      <c r="N97" s="240"/>
      <c r="O97" s="240"/>
      <c r="P97" s="240"/>
    </row>
    <row r="98" spans="1:16" ht="19.5">
      <c r="A98" s="240"/>
      <c r="B98" s="240"/>
      <c r="C98" s="240"/>
      <c r="D98" s="240"/>
      <c r="E98" s="240"/>
      <c r="F98" s="240"/>
      <c r="G98" s="240"/>
      <c r="H98" s="240"/>
      <c r="I98" s="240"/>
      <c r="J98" s="240"/>
      <c r="K98" s="240"/>
      <c r="L98" s="240"/>
      <c r="M98" s="240"/>
      <c r="N98" s="240"/>
      <c r="O98" s="240"/>
      <c r="P98" s="240"/>
    </row>
    <row r="99" spans="1:16" ht="19.5">
      <c r="A99" s="240"/>
      <c r="B99" s="240"/>
      <c r="C99" s="240"/>
      <c r="D99" s="240"/>
      <c r="E99" s="240"/>
      <c r="F99" s="240"/>
      <c r="G99" s="240"/>
      <c r="H99" s="240"/>
      <c r="I99" s="240"/>
      <c r="J99" s="240"/>
      <c r="K99" s="240"/>
      <c r="L99" s="240"/>
      <c r="M99" s="240"/>
      <c r="N99" s="240"/>
      <c r="O99" s="240"/>
      <c r="P99" s="240"/>
    </row>
    <row r="100" spans="1:16" ht="19.5">
      <c r="A100" s="240"/>
      <c r="B100" s="240"/>
      <c r="C100" s="240"/>
      <c r="D100" s="240"/>
      <c r="E100" s="240"/>
      <c r="F100" s="240"/>
      <c r="G100" s="240"/>
      <c r="H100" s="240"/>
      <c r="I100" s="240"/>
      <c r="J100" s="240"/>
      <c r="K100" s="240"/>
      <c r="L100" s="240"/>
      <c r="M100" s="240"/>
      <c r="N100" s="240"/>
      <c r="O100" s="240"/>
      <c r="P100" s="240"/>
    </row>
    <row r="101" spans="1:16" ht="19.5">
      <c r="A101" s="240"/>
      <c r="B101" s="240"/>
      <c r="C101" s="240"/>
      <c r="D101" s="240"/>
      <c r="E101" s="240"/>
      <c r="F101" s="240"/>
      <c r="G101" s="240"/>
      <c r="H101" s="240"/>
      <c r="I101" s="240"/>
      <c r="J101" s="240"/>
      <c r="K101" s="240"/>
      <c r="L101" s="240"/>
      <c r="M101" s="240"/>
      <c r="N101" s="240"/>
      <c r="O101" s="240"/>
      <c r="P101" s="240"/>
    </row>
    <row r="102" spans="1:16" ht="19.5">
      <c r="A102" s="240"/>
      <c r="B102" s="240"/>
      <c r="C102" s="240"/>
      <c r="D102" s="240"/>
      <c r="E102" s="240"/>
      <c r="F102" s="240"/>
      <c r="G102" s="240"/>
      <c r="H102" s="240"/>
      <c r="I102" s="240"/>
      <c r="J102" s="240"/>
      <c r="K102" s="240"/>
      <c r="L102" s="240"/>
      <c r="M102" s="240"/>
      <c r="N102" s="240"/>
      <c r="O102" s="240"/>
      <c r="P102" s="240"/>
    </row>
    <row r="103" spans="1:16" ht="19.5">
      <c r="A103" s="240"/>
      <c r="B103" s="240"/>
      <c r="C103" s="240"/>
      <c r="D103" s="240"/>
      <c r="E103" s="240"/>
      <c r="F103" s="240"/>
      <c r="G103" s="240"/>
      <c r="H103" s="240"/>
      <c r="I103" s="240"/>
      <c r="J103" s="240"/>
      <c r="K103" s="240"/>
      <c r="L103" s="240"/>
      <c r="M103" s="240"/>
      <c r="N103" s="240"/>
      <c r="O103" s="240"/>
      <c r="P103" s="240"/>
    </row>
    <row r="104" spans="1:16" ht="19.5">
      <c r="A104" s="240"/>
      <c r="B104" s="240"/>
      <c r="C104" s="240"/>
      <c r="D104" s="240"/>
      <c r="E104" s="240"/>
      <c r="F104" s="240"/>
      <c r="G104" s="240"/>
      <c r="H104" s="240"/>
      <c r="I104" s="240"/>
      <c r="J104" s="240"/>
      <c r="K104" s="240"/>
      <c r="L104" s="240"/>
      <c r="M104" s="240"/>
      <c r="N104" s="240"/>
      <c r="O104" s="240"/>
      <c r="P104" s="240"/>
    </row>
    <row r="105" spans="1:16" ht="19.5">
      <c r="A105" s="240"/>
      <c r="B105" s="240"/>
      <c r="C105" s="240"/>
      <c r="D105" s="240"/>
      <c r="E105" s="240"/>
      <c r="F105" s="240"/>
      <c r="G105" s="240"/>
      <c r="H105" s="240"/>
      <c r="I105" s="240"/>
      <c r="J105" s="240"/>
      <c r="K105" s="240"/>
      <c r="L105" s="240"/>
      <c r="M105" s="240"/>
      <c r="N105" s="240"/>
      <c r="O105" s="240"/>
      <c r="P105" s="240"/>
    </row>
    <row r="106" spans="1:16" ht="19.5">
      <c r="A106" s="240"/>
      <c r="B106" s="240"/>
      <c r="C106" s="240"/>
      <c r="D106" s="240"/>
      <c r="E106" s="240"/>
      <c r="F106" s="240"/>
      <c r="G106" s="240"/>
      <c r="H106" s="240"/>
      <c r="I106" s="240"/>
      <c r="J106" s="240"/>
      <c r="K106" s="240"/>
      <c r="L106" s="240"/>
      <c r="M106" s="240"/>
      <c r="N106" s="240"/>
      <c r="O106" s="240"/>
      <c r="P106" s="240"/>
    </row>
    <row r="107" spans="1:16" ht="19.5">
      <c r="A107" s="240"/>
      <c r="B107" s="240"/>
      <c r="C107" s="240"/>
      <c r="D107" s="240"/>
      <c r="E107" s="240"/>
      <c r="F107" s="240"/>
      <c r="G107" s="240"/>
      <c r="H107" s="240"/>
      <c r="I107" s="240"/>
      <c r="J107" s="240"/>
      <c r="K107" s="240"/>
      <c r="L107" s="240"/>
      <c r="M107" s="240"/>
      <c r="N107" s="240"/>
      <c r="O107" s="240"/>
      <c r="P107" s="240"/>
    </row>
    <row r="108" spans="1:16" ht="19.5">
      <c r="A108" s="240"/>
      <c r="B108" s="240"/>
      <c r="C108" s="240"/>
      <c r="D108" s="240"/>
      <c r="E108" s="240"/>
      <c r="F108" s="240"/>
      <c r="G108" s="240"/>
      <c r="H108" s="240"/>
      <c r="I108" s="240"/>
      <c r="J108" s="240"/>
      <c r="K108" s="240"/>
      <c r="L108" s="240"/>
      <c r="M108" s="240"/>
      <c r="N108" s="240"/>
      <c r="O108" s="240"/>
      <c r="P108" s="240"/>
    </row>
    <row r="109" spans="1:16" ht="19.5">
      <c r="A109" s="240"/>
      <c r="B109" s="240"/>
      <c r="C109" s="240"/>
      <c r="D109" s="240"/>
      <c r="E109" s="240"/>
      <c r="F109" s="240"/>
      <c r="G109" s="240"/>
      <c r="H109" s="240"/>
      <c r="I109" s="240"/>
      <c r="J109" s="240"/>
      <c r="K109" s="240"/>
      <c r="L109" s="240"/>
      <c r="M109" s="240"/>
      <c r="N109" s="240"/>
      <c r="O109" s="240"/>
      <c r="P109" s="240"/>
    </row>
    <row r="110" spans="1:16" ht="19.5">
      <c r="A110" s="240"/>
      <c r="B110" s="240"/>
      <c r="C110" s="240"/>
      <c r="D110" s="240"/>
      <c r="E110" s="240"/>
      <c r="F110" s="240"/>
      <c r="G110" s="240"/>
      <c r="H110" s="240"/>
      <c r="I110" s="240"/>
      <c r="J110" s="240"/>
      <c r="K110" s="240"/>
      <c r="L110" s="240"/>
      <c r="M110" s="240"/>
      <c r="N110" s="240"/>
      <c r="O110" s="240"/>
      <c r="P110" s="240"/>
    </row>
    <row r="111" spans="1:16" ht="19.5">
      <c r="A111" s="240"/>
      <c r="B111" s="240"/>
      <c r="C111" s="240"/>
      <c r="D111" s="240"/>
      <c r="E111" s="240"/>
      <c r="F111" s="240"/>
      <c r="G111" s="240"/>
      <c r="H111" s="240"/>
      <c r="I111" s="240"/>
      <c r="J111" s="240"/>
      <c r="K111" s="240"/>
      <c r="L111" s="240"/>
      <c r="M111" s="240"/>
      <c r="N111" s="240"/>
      <c r="O111" s="240"/>
      <c r="P111" s="240"/>
    </row>
    <row r="112" spans="1:16" ht="19.5">
      <c r="A112" s="240"/>
      <c r="B112" s="240"/>
      <c r="C112" s="240"/>
      <c r="D112" s="240"/>
      <c r="E112" s="240"/>
      <c r="F112" s="240"/>
      <c r="G112" s="240"/>
      <c r="H112" s="240"/>
      <c r="I112" s="240"/>
      <c r="J112" s="240"/>
      <c r="K112" s="240"/>
      <c r="L112" s="240"/>
      <c r="M112" s="240"/>
      <c r="N112" s="240"/>
      <c r="O112" s="240"/>
      <c r="P112" s="240"/>
    </row>
    <row r="113" spans="1:16" ht="19.5">
      <c r="A113" s="240"/>
      <c r="B113" s="240"/>
      <c r="C113" s="240"/>
      <c r="D113" s="240"/>
      <c r="E113" s="240"/>
      <c r="F113" s="240"/>
      <c r="G113" s="240"/>
      <c r="H113" s="240"/>
      <c r="I113" s="240"/>
      <c r="J113" s="240"/>
      <c r="K113" s="240"/>
      <c r="L113" s="240"/>
      <c r="M113" s="240"/>
      <c r="N113" s="240"/>
      <c r="O113" s="240"/>
      <c r="P113" s="240"/>
    </row>
    <row r="114" spans="1:16" ht="19.5">
      <c r="A114" s="240"/>
      <c r="B114" s="240"/>
      <c r="C114" s="240"/>
      <c r="D114" s="240"/>
      <c r="E114" s="240"/>
      <c r="F114" s="240"/>
      <c r="G114" s="240"/>
      <c r="H114" s="240"/>
      <c r="I114" s="240"/>
      <c r="J114" s="240"/>
      <c r="K114" s="240"/>
      <c r="L114" s="240"/>
      <c r="M114" s="240"/>
      <c r="N114" s="240"/>
      <c r="O114" s="240"/>
      <c r="P114" s="240"/>
    </row>
    <row r="115" spans="1:16" ht="19.5">
      <c r="A115" s="240"/>
      <c r="B115" s="240"/>
      <c r="C115" s="240"/>
      <c r="D115" s="240"/>
      <c r="E115" s="240"/>
      <c r="F115" s="240"/>
      <c r="G115" s="240"/>
      <c r="H115" s="240"/>
      <c r="I115" s="240"/>
      <c r="J115" s="240"/>
      <c r="K115" s="240"/>
      <c r="L115" s="240"/>
      <c r="M115" s="240"/>
      <c r="N115" s="240"/>
      <c r="O115" s="240"/>
      <c r="P115" s="240"/>
    </row>
    <row r="116" spans="1:16" ht="19.5">
      <c r="A116" s="240"/>
      <c r="B116" s="240"/>
      <c r="C116" s="240"/>
      <c r="D116" s="240"/>
      <c r="E116" s="240"/>
      <c r="F116" s="240"/>
      <c r="G116" s="240"/>
      <c r="H116" s="240"/>
      <c r="I116" s="240"/>
      <c r="J116" s="240"/>
      <c r="K116" s="240"/>
      <c r="L116" s="240"/>
      <c r="M116" s="240"/>
      <c r="N116" s="240"/>
      <c r="O116" s="240"/>
      <c r="P116" s="240"/>
    </row>
    <row r="117" spans="1:16" ht="19.5">
      <c r="A117" s="240"/>
      <c r="B117" s="240"/>
      <c r="C117" s="240"/>
      <c r="D117" s="240"/>
      <c r="E117" s="240"/>
      <c r="F117" s="240"/>
      <c r="G117" s="240"/>
      <c r="H117" s="240"/>
      <c r="I117" s="240"/>
      <c r="J117" s="240"/>
      <c r="K117" s="240"/>
      <c r="L117" s="240"/>
      <c r="M117" s="240"/>
      <c r="N117" s="240"/>
      <c r="O117" s="240"/>
      <c r="P117" s="240"/>
    </row>
    <row r="118" spans="1:16" ht="19.5">
      <c r="A118" s="240"/>
      <c r="B118" s="240"/>
      <c r="C118" s="240"/>
      <c r="D118" s="240"/>
      <c r="E118" s="240"/>
      <c r="F118" s="240"/>
      <c r="G118" s="240"/>
      <c r="H118" s="240"/>
      <c r="I118" s="240"/>
      <c r="J118" s="240"/>
      <c r="K118" s="240"/>
      <c r="L118" s="240"/>
      <c r="M118" s="240"/>
      <c r="N118" s="240"/>
      <c r="O118" s="240"/>
      <c r="P118" s="240"/>
    </row>
    <row r="119" spans="1:16" ht="19.5">
      <c r="A119" s="240"/>
      <c r="B119" s="240"/>
      <c r="C119" s="240"/>
      <c r="D119" s="240"/>
      <c r="E119" s="240"/>
      <c r="F119" s="240"/>
      <c r="G119" s="240"/>
      <c r="H119" s="240"/>
      <c r="I119" s="240"/>
      <c r="J119" s="240"/>
      <c r="K119" s="240"/>
      <c r="L119" s="240"/>
      <c r="M119" s="240"/>
      <c r="N119" s="240"/>
      <c r="O119" s="240"/>
      <c r="P119" s="240"/>
    </row>
    <row r="120" spans="1:16" ht="19.5">
      <c r="A120" s="240"/>
      <c r="B120" s="240"/>
      <c r="C120" s="240"/>
      <c r="D120" s="240"/>
      <c r="E120" s="240"/>
      <c r="F120" s="240"/>
      <c r="G120" s="240"/>
      <c r="H120" s="240"/>
      <c r="I120" s="240"/>
      <c r="J120" s="240"/>
      <c r="K120" s="240"/>
      <c r="L120" s="240"/>
      <c r="M120" s="240"/>
      <c r="N120" s="240"/>
      <c r="O120" s="240"/>
      <c r="P120" s="240"/>
    </row>
    <row r="121" spans="1:16" ht="19.5">
      <c r="A121" s="240"/>
      <c r="B121" s="240"/>
      <c r="C121" s="240"/>
      <c r="D121" s="240"/>
      <c r="E121" s="240"/>
      <c r="F121" s="240"/>
      <c r="G121" s="240"/>
      <c r="H121" s="240"/>
      <c r="I121" s="240"/>
      <c r="J121" s="240"/>
      <c r="K121" s="240"/>
      <c r="L121" s="240"/>
      <c r="M121" s="240"/>
      <c r="N121" s="240"/>
      <c r="O121" s="240"/>
      <c r="P121" s="240"/>
    </row>
    <row r="122" spans="1:16" ht="19.5">
      <c r="A122" s="240"/>
      <c r="B122" s="240"/>
      <c r="C122" s="240"/>
      <c r="D122" s="240"/>
      <c r="E122" s="240"/>
      <c r="F122" s="240"/>
      <c r="G122" s="240"/>
      <c r="H122" s="240"/>
      <c r="I122" s="240"/>
      <c r="J122" s="240"/>
      <c r="K122" s="240"/>
      <c r="L122" s="240"/>
      <c r="M122" s="240"/>
      <c r="N122" s="240"/>
      <c r="O122" s="240"/>
      <c r="P122" s="240"/>
    </row>
    <row r="123" spans="1:16" ht="19.5">
      <c r="A123" s="240"/>
      <c r="B123" s="240"/>
      <c r="C123" s="240"/>
      <c r="D123" s="240"/>
      <c r="E123" s="240"/>
      <c r="F123" s="240"/>
      <c r="G123" s="240"/>
      <c r="H123" s="240"/>
      <c r="I123" s="240"/>
      <c r="J123" s="240"/>
      <c r="K123" s="240"/>
      <c r="L123" s="240"/>
      <c r="M123" s="240"/>
      <c r="N123" s="240"/>
      <c r="O123" s="240"/>
      <c r="P123" s="240"/>
    </row>
    <row r="124" spans="1:16" ht="19.5">
      <c r="A124" s="240"/>
      <c r="B124" s="240"/>
      <c r="C124" s="240"/>
      <c r="D124" s="240"/>
      <c r="E124" s="240"/>
      <c r="F124" s="240"/>
      <c r="G124" s="240"/>
      <c r="H124" s="240"/>
      <c r="I124" s="240"/>
      <c r="J124" s="240"/>
      <c r="K124" s="240"/>
      <c r="L124" s="240"/>
      <c r="M124" s="240"/>
      <c r="N124" s="240"/>
      <c r="O124" s="240"/>
      <c r="P124" s="240"/>
    </row>
    <row r="125" spans="1:16" ht="19.5">
      <c r="A125" s="240"/>
      <c r="B125" s="240"/>
      <c r="C125" s="240"/>
      <c r="D125" s="240"/>
      <c r="E125" s="240"/>
      <c r="F125" s="240"/>
      <c r="G125" s="240"/>
      <c r="H125" s="240"/>
      <c r="I125" s="240"/>
      <c r="J125" s="240"/>
      <c r="K125" s="240"/>
      <c r="L125" s="240"/>
      <c r="M125" s="240"/>
      <c r="N125" s="240"/>
      <c r="O125" s="240"/>
      <c r="P125" s="240"/>
    </row>
    <row r="126" spans="1:16" ht="19.5">
      <c r="A126" s="240"/>
      <c r="B126" s="240"/>
      <c r="C126" s="240"/>
      <c r="D126" s="240"/>
      <c r="E126" s="240"/>
      <c r="F126" s="240"/>
      <c r="G126" s="240"/>
      <c r="H126" s="240"/>
      <c r="I126" s="240"/>
      <c r="J126" s="240"/>
      <c r="K126" s="240"/>
      <c r="L126" s="240"/>
      <c r="M126" s="240"/>
      <c r="N126" s="240"/>
      <c r="O126" s="240"/>
      <c r="P126" s="240"/>
    </row>
    <row r="127" spans="1:16" ht="19.5">
      <c r="A127" s="240"/>
      <c r="B127" s="240"/>
      <c r="C127" s="240"/>
      <c r="D127" s="240"/>
      <c r="E127" s="240"/>
      <c r="F127" s="240"/>
      <c r="G127" s="240"/>
      <c r="H127" s="240"/>
      <c r="I127" s="240"/>
      <c r="J127" s="240"/>
      <c r="K127" s="240"/>
      <c r="L127" s="240"/>
      <c r="M127" s="240"/>
      <c r="N127" s="240"/>
      <c r="O127" s="240"/>
      <c r="P127" s="240"/>
    </row>
    <row r="128" spans="1:16" ht="19.5">
      <c r="A128" s="240"/>
      <c r="B128" s="240"/>
      <c r="C128" s="240"/>
      <c r="D128" s="240"/>
      <c r="E128" s="240"/>
      <c r="F128" s="240"/>
      <c r="G128" s="240"/>
      <c r="H128" s="240"/>
      <c r="I128" s="240"/>
      <c r="J128" s="240"/>
      <c r="K128" s="240"/>
      <c r="L128" s="240"/>
      <c r="M128" s="240"/>
      <c r="N128" s="240"/>
      <c r="O128" s="240"/>
      <c r="P128" s="240"/>
    </row>
    <row r="129" spans="1:16" ht="19.5">
      <c r="A129" s="240"/>
      <c r="B129" s="240"/>
      <c r="C129" s="240"/>
      <c r="D129" s="240"/>
      <c r="E129" s="240"/>
      <c r="F129" s="240"/>
      <c r="G129" s="240"/>
      <c r="H129" s="240"/>
      <c r="I129" s="240"/>
      <c r="J129" s="240"/>
      <c r="K129" s="240"/>
      <c r="L129" s="240"/>
      <c r="M129" s="240"/>
      <c r="N129" s="240"/>
      <c r="O129" s="240"/>
      <c r="P129" s="240"/>
    </row>
    <row r="130" spans="1:16" ht="19.5">
      <c r="A130" s="240"/>
      <c r="B130" s="240"/>
      <c r="C130" s="240"/>
      <c r="D130" s="240"/>
      <c r="E130" s="240"/>
      <c r="F130" s="240"/>
      <c r="G130" s="240"/>
      <c r="H130" s="240"/>
      <c r="I130" s="240"/>
      <c r="J130" s="240"/>
      <c r="K130" s="240"/>
      <c r="L130" s="240"/>
      <c r="M130" s="240"/>
      <c r="N130" s="240"/>
      <c r="O130" s="240"/>
      <c r="P130" s="240"/>
    </row>
    <row r="131" spans="1:16" ht="19.5">
      <c r="A131" s="240"/>
      <c r="B131" s="240"/>
      <c r="C131" s="240"/>
      <c r="D131" s="240"/>
      <c r="E131" s="240"/>
      <c r="F131" s="240"/>
      <c r="G131" s="240"/>
      <c r="H131" s="240"/>
      <c r="I131" s="240"/>
      <c r="J131" s="240"/>
      <c r="K131" s="240"/>
      <c r="L131" s="240"/>
      <c r="M131" s="240"/>
      <c r="N131" s="240"/>
      <c r="O131" s="240"/>
      <c r="P131" s="240"/>
    </row>
    <row r="132" spans="1:16" ht="19.5">
      <c r="A132" s="240"/>
      <c r="B132" s="240"/>
      <c r="C132" s="240"/>
      <c r="D132" s="240"/>
      <c r="E132" s="240"/>
      <c r="F132" s="240"/>
      <c r="G132" s="240"/>
      <c r="H132" s="240"/>
      <c r="I132" s="240"/>
      <c r="J132" s="240"/>
      <c r="K132" s="240"/>
      <c r="L132" s="240"/>
      <c r="M132" s="240"/>
      <c r="N132" s="240"/>
      <c r="O132" s="240"/>
      <c r="P132" s="240"/>
    </row>
    <row r="133" spans="1:16" ht="19.5">
      <c r="A133" s="240"/>
      <c r="B133" s="240"/>
      <c r="C133" s="240"/>
      <c r="D133" s="240"/>
      <c r="E133" s="240"/>
      <c r="F133" s="240"/>
      <c r="G133" s="240"/>
      <c r="H133" s="240"/>
      <c r="I133" s="240"/>
      <c r="J133" s="240"/>
      <c r="K133" s="240"/>
      <c r="L133" s="240"/>
      <c r="M133" s="240"/>
      <c r="N133" s="240"/>
      <c r="O133" s="240"/>
      <c r="P133" s="240"/>
    </row>
    <row r="134" spans="1:16" ht="19.5">
      <c r="A134" s="240"/>
      <c r="B134" s="240"/>
      <c r="C134" s="240"/>
      <c r="D134" s="240"/>
      <c r="E134" s="240"/>
      <c r="F134" s="240"/>
      <c r="G134" s="240"/>
      <c r="H134" s="240"/>
      <c r="I134" s="240"/>
      <c r="J134" s="240"/>
      <c r="K134" s="240"/>
      <c r="L134" s="240"/>
      <c r="M134" s="240"/>
      <c r="N134" s="240"/>
      <c r="O134" s="240"/>
      <c r="P134" s="240"/>
    </row>
    <row r="135" spans="1:16" ht="19.5">
      <c r="A135" s="240"/>
      <c r="B135" s="240"/>
      <c r="C135" s="240"/>
      <c r="D135" s="240"/>
      <c r="E135" s="240"/>
      <c r="F135" s="240"/>
      <c r="G135" s="240"/>
      <c r="H135" s="240"/>
      <c r="I135" s="240"/>
      <c r="J135" s="240"/>
      <c r="K135" s="240"/>
      <c r="L135" s="240"/>
      <c r="M135" s="240"/>
      <c r="N135" s="240"/>
      <c r="O135" s="240"/>
      <c r="P135" s="240"/>
    </row>
    <row r="136" spans="1:16" ht="19.5">
      <c r="A136" s="240"/>
      <c r="B136" s="240"/>
      <c r="C136" s="240"/>
      <c r="D136" s="240"/>
      <c r="E136" s="240"/>
      <c r="F136" s="240"/>
      <c r="G136" s="240"/>
      <c r="H136" s="240"/>
      <c r="I136" s="240"/>
      <c r="J136" s="240"/>
      <c r="K136" s="240"/>
      <c r="L136" s="240"/>
      <c r="M136" s="240"/>
      <c r="N136" s="240"/>
      <c r="O136" s="240"/>
      <c r="P136" s="240"/>
    </row>
    <row r="137" spans="1:16" ht="19.5">
      <c r="A137" s="240"/>
      <c r="B137" s="240"/>
      <c r="C137" s="240"/>
      <c r="D137" s="240"/>
      <c r="E137" s="240"/>
      <c r="F137" s="240"/>
      <c r="G137" s="240"/>
      <c r="H137" s="240"/>
      <c r="I137" s="240"/>
      <c r="J137" s="240"/>
      <c r="K137" s="240"/>
      <c r="L137" s="240"/>
      <c r="M137" s="240"/>
      <c r="N137" s="240"/>
      <c r="O137" s="240"/>
      <c r="P137" s="240"/>
    </row>
    <row r="138" spans="1:16" ht="19.5">
      <c r="A138" s="240"/>
      <c r="B138" s="240"/>
      <c r="C138" s="240"/>
      <c r="D138" s="240"/>
      <c r="E138" s="240"/>
      <c r="F138" s="240"/>
      <c r="G138" s="240"/>
      <c r="H138" s="240"/>
      <c r="I138" s="240"/>
      <c r="J138" s="240"/>
      <c r="K138" s="240"/>
      <c r="L138" s="240"/>
      <c r="M138" s="240"/>
      <c r="N138" s="240"/>
      <c r="O138" s="240"/>
      <c r="P138" s="240"/>
    </row>
    <row r="139" spans="1:16" ht="19.5">
      <c r="A139" s="240"/>
      <c r="B139" s="240"/>
      <c r="C139" s="240"/>
      <c r="D139" s="240"/>
      <c r="E139" s="240"/>
      <c r="F139" s="240"/>
      <c r="G139" s="240"/>
      <c r="H139" s="240"/>
      <c r="I139" s="240"/>
      <c r="J139" s="240"/>
      <c r="K139" s="240"/>
      <c r="L139" s="240"/>
      <c r="M139" s="240"/>
      <c r="N139" s="240"/>
      <c r="O139" s="240"/>
      <c r="P139" s="240"/>
    </row>
    <row r="140" spans="1:16" ht="19.5">
      <c r="A140" s="240"/>
      <c r="B140" s="240"/>
      <c r="C140" s="240"/>
      <c r="D140" s="240"/>
      <c r="E140" s="240"/>
      <c r="F140" s="240"/>
      <c r="G140" s="240"/>
      <c r="H140" s="240"/>
      <c r="I140" s="240"/>
      <c r="J140" s="240"/>
      <c r="K140" s="240"/>
      <c r="L140" s="240"/>
      <c r="M140" s="240"/>
      <c r="N140" s="240"/>
      <c r="O140" s="240"/>
      <c r="P140" s="240"/>
    </row>
    <row r="141" spans="1:16" ht="19.5">
      <c r="A141" s="240"/>
      <c r="B141" s="240"/>
      <c r="C141" s="240"/>
      <c r="D141" s="240"/>
      <c r="E141" s="240"/>
      <c r="F141" s="240"/>
      <c r="G141" s="240"/>
      <c r="H141" s="240"/>
      <c r="I141" s="240"/>
      <c r="J141" s="240"/>
      <c r="K141" s="240"/>
      <c r="L141" s="240"/>
      <c r="M141" s="240"/>
      <c r="N141" s="240"/>
      <c r="O141" s="240"/>
      <c r="P141" s="240"/>
    </row>
    <row r="142" spans="1:16" ht="19.5">
      <c r="A142" s="240"/>
      <c r="B142" s="240"/>
      <c r="C142" s="240"/>
      <c r="D142" s="240"/>
      <c r="E142" s="240"/>
      <c r="F142" s="240"/>
      <c r="G142" s="240"/>
      <c r="H142" s="240"/>
      <c r="I142" s="240"/>
      <c r="J142" s="240"/>
      <c r="K142" s="240"/>
      <c r="L142" s="240"/>
      <c r="M142" s="240"/>
      <c r="N142" s="240"/>
      <c r="O142" s="240"/>
      <c r="P142" s="240"/>
    </row>
    <row r="143" spans="1:16" ht="19.5">
      <c r="A143" s="240"/>
      <c r="B143" s="240"/>
      <c r="C143" s="240"/>
      <c r="D143" s="240"/>
      <c r="E143" s="240"/>
      <c r="F143" s="240"/>
      <c r="G143" s="240"/>
      <c r="H143" s="240"/>
      <c r="I143" s="240"/>
      <c r="J143" s="240"/>
      <c r="K143" s="240"/>
      <c r="L143" s="240"/>
      <c r="M143" s="240"/>
      <c r="N143" s="240"/>
      <c r="O143" s="240"/>
      <c r="P143" s="240"/>
    </row>
    <row r="144" spans="1:16" ht="19.5">
      <c r="A144" s="240"/>
      <c r="B144" s="240"/>
      <c r="C144" s="240"/>
      <c r="D144" s="240"/>
      <c r="E144" s="240"/>
      <c r="F144" s="240"/>
      <c r="G144" s="240"/>
      <c r="H144" s="240"/>
      <c r="I144" s="240"/>
      <c r="J144" s="240"/>
      <c r="K144" s="240"/>
      <c r="L144" s="240"/>
      <c r="M144" s="240"/>
      <c r="N144" s="240"/>
      <c r="O144" s="240"/>
      <c r="P144" s="240"/>
    </row>
    <row r="145" spans="1:16" ht="19.5">
      <c r="A145" s="240"/>
      <c r="B145" s="240"/>
      <c r="C145" s="240"/>
      <c r="D145" s="240"/>
      <c r="E145" s="240"/>
      <c r="F145" s="240"/>
      <c r="G145" s="240"/>
      <c r="H145" s="240"/>
      <c r="I145" s="240"/>
      <c r="J145" s="240"/>
      <c r="K145" s="240"/>
      <c r="L145" s="240"/>
      <c r="M145" s="240"/>
      <c r="N145" s="240"/>
      <c r="O145" s="240"/>
      <c r="P145" s="240"/>
    </row>
    <row r="146" spans="1:16" ht="19.5">
      <c r="A146" s="240"/>
      <c r="B146" s="240"/>
      <c r="C146" s="240"/>
      <c r="D146" s="240"/>
      <c r="E146" s="240"/>
      <c r="F146" s="240"/>
      <c r="G146" s="240"/>
      <c r="H146" s="240"/>
      <c r="I146" s="240"/>
      <c r="J146" s="240"/>
      <c r="K146" s="240"/>
      <c r="L146" s="240"/>
      <c r="M146" s="240"/>
      <c r="N146" s="240"/>
      <c r="O146" s="240"/>
      <c r="P146" s="240"/>
    </row>
    <row r="147" spans="1:16" ht="19.5">
      <c r="A147" s="240"/>
      <c r="B147" s="240"/>
      <c r="C147" s="240"/>
      <c r="D147" s="240"/>
      <c r="E147" s="240"/>
      <c r="F147" s="240"/>
      <c r="G147" s="240"/>
      <c r="H147" s="240"/>
      <c r="I147" s="240"/>
      <c r="J147" s="240"/>
      <c r="K147" s="240"/>
      <c r="L147" s="240"/>
      <c r="M147" s="240"/>
      <c r="N147" s="240"/>
      <c r="O147" s="240"/>
      <c r="P147" s="240"/>
    </row>
    <row r="148" spans="1:16" ht="19.5">
      <c r="A148" s="240"/>
      <c r="B148" s="240"/>
      <c r="C148" s="240"/>
      <c r="D148" s="240"/>
      <c r="E148" s="240"/>
      <c r="F148" s="240"/>
      <c r="G148" s="240"/>
      <c r="H148" s="240"/>
      <c r="I148" s="240"/>
      <c r="J148" s="240"/>
      <c r="K148" s="240"/>
      <c r="L148" s="240"/>
      <c r="M148" s="240"/>
      <c r="N148" s="240"/>
      <c r="O148" s="240"/>
      <c r="P148" s="240"/>
    </row>
    <row r="149" spans="1:16" ht="19.5">
      <c r="A149" s="240"/>
      <c r="B149" s="240"/>
      <c r="C149" s="240"/>
      <c r="D149" s="240"/>
      <c r="E149" s="240"/>
      <c r="F149" s="240"/>
      <c r="G149" s="240"/>
      <c r="H149" s="240"/>
      <c r="I149" s="240"/>
      <c r="J149" s="240"/>
      <c r="K149" s="240"/>
      <c r="L149" s="240"/>
      <c r="M149" s="240"/>
      <c r="N149" s="240"/>
      <c r="O149" s="240"/>
      <c r="P149" s="240"/>
    </row>
    <row r="150" spans="1:16" ht="19.5">
      <c r="A150" s="240"/>
      <c r="B150" s="240"/>
      <c r="C150" s="240"/>
      <c r="D150" s="240"/>
      <c r="E150" s="240"/>
      <c r="F150" s="240"/>
      <c r="G150" s="240"/>
      <c r="H150" s="240"/>
      <c r="I150" s="240"/>
      <c r="J150" s="240"/>
      <c r="K150" s="240"/>
      <c r="L150" s="240"/>
      <c r="M150" s="240"/>
      <c r="N150" s="240"/>
      <c r="O150" s="240"/>
      <c r="P150" s="240"/>
    </row>
    <row r="151" spans="1:16" ht="19.5">
      <c r="A151" s="240"/>
      <c r="B151" s="240"/>
      <c r="C151" s="240"/>
      <c r="D151" s="240"/>
      <c r="E151" s="240"/>
      <c r="F151" s="240"/>
      <c r="G151" s="240"/>
      <c r="H151" s="240"/>
      <c r="I151" s="240"/>
      <c r="J151" s="240"/>
      <c r="K151" s="240"/>
      <c r="L151" s="240"/>
      <c r="M151" s="240"/>
      <c r="N151" s="240"/>
      <c r="O151" s="240"/>
      <c r="P151" s="240"/>
    </row>
    <row r="152" spans="1:16" ht="19.5">
      <c r="A152" s="240"/>
      <c r="B152" s="240"/>
      <c r="C152" s="240"/>
      <c r="D152" s="240"/>
      <c r="E152" s="240"/>
      <c r="F152" s="240"/>
      <c r="G152" s="240"/>
      <c r="H152" s="240"/>
      <c r="I152" s="240"/>
      <c r="J152" s="240"/>
      <c r="K152" s="240"/>
      <c r="L152" s="240"/>
      <c r="M152" s="240"/>
      <c r="N152" s="240"/>
      <c r="O152" s="240"/>
      <c r="P152" s="240"/>
    </row>
    <row r="153" spans="1:16" ht="19.5">
      <c r="A153" s="240"/>
      <c r="B153" s="240"/>
      <c r="C153" s="240"/>
      <c r="D153" s="240"/>
      <c r="E153" s="240"/>
      <c r="F153" s="240"/>
      <c r="G153" s="240"/>
      <c r="H153" s="240"/>
      <c r="I153" s="240"/>
      <c r="J153" s="240"/>
      <c r="K153" s="240"/>
      <c r="L153" s="240"/>
      <c r="M153" s="240"/>
      <c r="N153" s="240"/>
      <c r="O153" s="240"/>
      <c r="P153" s="240"/>
    </row>
    <row r="154" spans="1:16" ht="19.5">
      <c r="A154" s="240"/>
      <c r="B154" s="240"/>
      <c r="C154" s="240"/>
      <c r="D154" s="240"/>
      <c r="E154" s="240"/>
      <c r="F154" s="240"/>
      <c r="G154" s="240"/>
      <c r="H154" s="240"/>
      <c r="I154" s="240"/>
      <c r="J154" s="240"/>
      <c r="K154" s="240"/>
      <c r="L154" s="240"/>
      <c r="M154" s="240"/>
      <c r="N154" s="240"/>
      <c r="O154" s="240"/>
      <c r="P154" s="240"/>
    </row>
    <row r="155" spans="1:16" ht="19.5">
      <c r="A155" s="240"/>
      <c r="B155" s="240"/>
      <c r="C155" s="240"/>
      <c r="D155" s="240"/>
      <c r="E155" s="240"/>
      <c r="F155" s="240"/>
      <c r="G155" s="240"/>
      <c r="H155" s="240"/>
      <c r="I155" s="240"/>
      <c r="J155" s="240"/>
      <c r="K155" s="240"/>
      <c r="L155" s="240"/>
      <c r="M155" s="240"/>
      <c r="N155" s="240"/>
      <c r="O155" s="240"/>
      <c r="P155" s="240"/>
    </row>
    <row r="156" spans="1:16" ht="19.5">
      <c r="A156" s="240"/>
      <c r="B156" s="240"/>
      <c r="C156" s="240"/>
      <c r="D156" s="240"/>
      <c r="E156" s="240"/>
      <c r="F156" s="240"/>
      <c r="G156" s="240"/>
      <c r="H156" s="240"/>
      <c r="I156" s="240"/>
      <c r="J156" s="240"/>
      <c r="K156" s="240"/>
      <c r="L156" s="240"/>
      <c r="M156" s="240"/>
      <c r="N156" s="240"/>
      <c r="O156" s="240"/>
      <c r="P156" s="240"/>
    </row>
    <row r="157" spans="1:16" ht="19.5">
      <c r="A157" s="240"/>
      <c r="B157" s="240"/>
      <c r="C157" s="240"/>
      <c r="D157" s="240"/>
      <c r="E157" s="240"/>
      <c r="F157" s="240"/>
      <c r="G157" s="240"/>
      <c r="H157" s="240"/>
      <c r="I157" s="240"/>
      <c r="J157" s="240"/>
      <c r="K157" s="240"/>
      <c r="L157" s="240"/>
      <c r="M157" s="240"/>
      <c r="N157" s="240"/>
      <c r="O157" s="240"/>
      <c r="P157" s="240"/>
    </row>
    <row r="158" spans="1:16" ht="19.5">
      <c r="A158" s="240"/>
      <c r="B158" s="240"/>
      <c r="C158" s="240"/>
      <c r="D158" s="240"/>
      <c r="E158" s="240"/>
      <c r="F158" s="240"/>
      <c r="G158" s="240"/>
      <c r="H158" s="240"/>
      <c r="I158" s="240"/>
      <c r="J158" s="240"/>
      <c r="K158" s="240"/>
      <c r="L158" s="240"/>
      <c r="M158" s="240"/>
      <c r="N158" s="240"/>
      <c r="O158" s="240"/>
      <c r="P158" s="240"/>
    </row>
    <row r="159" spans="1:16" ht="19.5">
      <c r="A159" s="240"/>
      <c r="B159" s="240"/>
      <c r="C159" s="240"/>
      <c r="D159" s="240"/>
      <c r="E159" s="240"/>
      <c r="F159" s="240"/>
      <c r="G159" s="240"/>
      <c r="H159" s="240"/>
      <c r="I159" s="240"/>
      <c r="J159" s="240"/>
      <c r="K159" s="240"/>
      <c r="L159" s="240"/>
      <c r="M159" s="240"/>
      <c r="N159" s="240"/>
      <c r="O159" s="240"/>
      <c r="P159" s="240"/>
    </row>
    <row r="160" spans="1:16" ht="19.5">
      <c r="A160" s="240"/>
      <c r="B160" s="240"/>
      <c r="C160" s="240"/>
      <c r="D160" s="240"/>
      <c r="E160" s="240"/>
      <c r="F160" s="240"/>
      <c r="G160" s="240"/>
      <c r="H160" s="240"/>
      <c r="I160" s="240"/>
      <c r="J160" s="240"/>
      <c r="K160" s="240"/>
      <c r="L160" s="240"/>
      <c r="M160" s="240"/>
      <c r="N160" s="240"/>
      <c r="O160" s="240"/>
      <c r="P160" s="240"/>
    </row>
    <row r="161" spans="1:16" ht="19.5">
      <c r="A161" s="240"/>
      <c r="B161" s="240"/>
      <c r="C161" s="240"/>
      <c r="D161" s="240"/>
      <c r="E161" s="240"/>
      <c r="F161" s="240"/>
      <c r="G161" s="240"/>
      <c r="H161" s="240"/>
      <c r="I161" s="240"/>
      <c r="J161" s="240"/>
      <c r="K161" s="240"/>
      <c r="L161" s="240"/>
      <c r="M161" s="240"/>
      <c r="N161" s="240"/>
      <c r="O161" s="240"/>
      <c r="P161" s="240"/>
    </row>
    <row r="162" spans="1:16" ht="19.5">
      <c r="A162" s="240"/>
      <c r="B162" s="240"/>
      <c r="C162" s="240"/>
      <c r="D162" s="240"/>
      <c r="E162" s="240"/>
      <c r="F162" s="240"/>
      <c r="G162" s="240"/>
      <c r="H162" s="240"/>
      <c r="I162" s="240"/>
      <c r="J162" s="240"/>
      <c r="K162" s="240"/>
      <c r="L162" s="240"/>
      <c r="M162" s="240"/>
      <c r="N162" s="240"/>
      <c r="O162" s="240"/>
      <c r="P162" s="240"/>
    </row>
    <row r="163" spans="1:16" ht="19.5">
      <c r="A163" s="240"/>
      <c r="B163" s="240"/>
      <c r="C163" s="240"/>
      <c r="D163" s="240"/>
      <c r="E163" s="240"/>
      <c r="F163" s="240"/>
      <c r="G163" s="240"/>
      <c r="H163" s="240"/>
      <c r="I163" s="240"/>
      <c r="J163" s="240"/>
      <c r="K163" s="240"/>
      <c r="L163" s="240"/>
      <c r="M163" s="240"/>
      <c r="N163" s="240"/>
      <c r="O163" s="240"/>
      <c r="P163" s="240"/>
    </row>
    <row r="164" spans="1:16" ht="19.5">
      <c r="A164" s="240"/>
      <c r="B164" s="240"/>
      <c r="C164" s="240"/>
      <c r="D164" s="240"/>
      <c r="E164" s="240"/>
      <c r="F164" s="240"/>
      <c r="G164" s="240"/>
      <c r="H164" s="240"/>
      <c r="I164" s="240"/>
      <c r="J164" s="240"/>
      <c r="K164" s="240"/>
      <c r="L164" s="240"/>
      <c r="M164" s="240"/>
      <c r="N164" s="240"/>
      <c r="O164" s="240"/>
      <c r="P164" s="240"/>
    </row>
    <row r="165" spans="1:16" ht="19.5">
      <c r="A165" s="240"/>
      <c r="B165" s="240"/>
      <c r="C165" s="240"/>
      <c r="D165" s="240"/>
      <c r="E165" s="240"/>
      <c r="F165" s="240"/>
      <c r="G165" s="240"/>
      <c r="H165" s="240"/>
      <c r="I165" s="240"/>
      <c r="J165" s="240"/>
      <c r="K165" s="240"/>
      <c r="L165" s="240"/>
      <c r="M165" s="240"/>
      <c r="N165" s="240"/>
      <c r="O165" s="240"/>
      <c r="P165" s="240"/>
    </row>
    <row r="166" spans="1:16" ht="19.5">
      <c r="A166" s="240"/>
      <c r="B166" s="240"/>
      <c r="C166" s="240"/>
      <c r="D166" s="240"/>
      <c r="E166" s="240"/>
      <c r="F166" s="240"/>
      <c r="G166" s="240"/>
      <c r="H166" s="240"/>
      <c r="I166" s="240"/>
      <c r="J166" s="240"/>
      <c r="K166" s="240"/>
      <c r="L166" s="240"/>
      <c r="M166" s="240"/>
      <c r="N166" s="240"/>
      <c r="O166" s="240"/>
      <c r="P166" s="240"/>
    </row>
    <row r="167" spans="1:16" ht="19.5">
      <c r="A167" s="240"/>
      <c r="B167" s="240"/>
      <c r="C167" s="240"/>
      <c r="D167" s="240"/>
      <c r="E167" s="240"/>
      <c r="F167" s="240"/>
      <c r="G167" s="240"/>
      <c r="H167" s="240"/>
      <c r="I167" s="240"/>
      <c r="J167" s="240"/>
      <c r="K167" s="240"/>
      <c r="L167" s="240"/>
      <c r="M167" s="240"/>
      <c r="N167" s="240"/>
      <c r="O167" s="240"/>
      <c r="P167" s="240"/>
    </row>
    <row r="168" spans="1:16" ht="19.5">
      <c r="A168" s="240"/>
      <c r="B168" s="240"/>
      <c r="C168" s="240"/>
      <c r="D168" s="240"/>
      <c r="E168" s="240"/>
      <c r="F168" s="240"/>
      <c r="G168" s="240"/>
      <c r="H168" s="240"/>
      <c r="I168" s="240"/>
      <c r="J168" s="240"/>
      <c r="K168" s="240"/>
      <c r="L168" s="240"/>
      <c r="M168" s="240"/>
      <c r="N168" s="240"/>
      <c r="O168" s="240"/>
      <c r="P168" s="240"/>
    </row>
    <row r="169" spans="1:16" ht="19.5">
      <c r="A169" s="240"/>
      <c r="B169" s="240"/>
      <c r="C169" s="240"/>
      <c r="D169" s="240"/>
      <c r="E169" s="240"/>
      <c r="F169" s="240"/>
      <c r="G169" s="240"/>
      <c r="H169" s="240"/>
      <c r="I169" s="240"/>
      <c r="J169" s="240"/>
      <c r="K169" s="240"/>
      <c r="L169" s="240"/>
      <c r="M169" s="240"/>
      <c r="N169" s="240"/>
      <c r="O169" s="240"/>
      <c r="P169" s="240"/>
    </row>
    <row r="170" spans="1:16" ht="19.5">
      <c r="A170" s="240"/>
      <c r="B170" s="240"/>
      <c r="C170" s="240"/>
      <c r="D170" s="240"/>
      <c r="E170" s="240"/>
      <c r="F170" s="240"/>
      <c r="G170" s="240"/>
      <c r="H170" s="240"/>
      <c r="I170" s="240"/>
      <c r="J170" s="240"/>
      <c r="K170" s="240"/>
      <c r="L170" s="240"/>
      <c r="M170" s="240"/>
      <c r="N170" s="240"/>
      <c r="O170" s="240"/>
      <c r="P170" s="240"/>
    </row>
    <row r="171" spans="1:16" ht="19.5">
      <c r="A171" s="240"/>
      <c r="B171" s="240"/>
      <c r="C171" s="240"/>
      <c r="D171" s="240"/>
      <c r="E171" s="240"/>
      <c r="F171" s="240"/>
      <c r="G171" s="240"/>
      <c r="H171" s="240"/>
      <c r="I171" s="240"/>
      <c r="J171" s="240"/>
      <c r="K171" s="240"/>
      <c r="L171" s="240"/>
      <c r="M171" s="240"/>
      <c r="N171" s="240"/>
      <c r="O171" s="240"/>
      <c r="P171" s="240"/>
    </row>
    <row r="172" spans="1:16" ht="19.5">
      <c r="A172" s="240"/>
      <c r="B172" s="240"/>
      <c r="C172" s="240"/>
      <c r="D172" s="240"/>
      <c r="E172" s="240"/>
      <c r="F172" s="240"/>
      <c r="G172" s="240"/>
      <c r="H172" s="240"/>
      <c r="I172" s="240"/>
      <c r="J172" s="240"/>
      <c r="K172" s="240"/>
      <c r="L172" s="240"/>
      <c r="M172" s="240"/>
      <c r="N172" s="240"/>
      <c r="O172" s="240"/>
      <c r="P172" s="240"/>
    </row>
    <row r="173" spans="1:16" ht="19.5">
      <c r="A173" s="240"/>
      <c r="B173" s="240"/>
      <c r="C173" s="240"/>
      <c r="D173" s="240"/>
      <c r="E173" s="240"/>
      <c r="F173" s="240"/>
      <c r="G173" s="240"/>
      <c r="H173" s="240"/>
      <c r="I173" s="240"/>
      <c r="J173" s="240"/>
      <c r="K173" s="240"/>
      <c r="L173" s="240"/>
      <c r="M173" s="240"/>
      <c r="N173" s="240"/>
      <c r="O173" s="240"/>
      <c r="P173" s="240"/>
    </row>
    <row r="174" spans="1:16" ht="19.5">
      <c r="A174" s="240"/>
      <c r="B174" s="240"/>
      <c r="C174" s="240"/>
      <c r="D174" s="240"/>
      <c r="E174" s="240"/>
      <c r="F174" s="240"/>
      <c r="G174" s="240"/>
      <c r="H174" s="240"/>
      <c r="I174" s="240"/>
      <c r="J174" s="240"/>
      <c r="K174" s="240"/>
      <c r="L174" s="240"/>
      <c r="M174" s="240"/>
      <c r="N174" s="240"/>
      <c r="O174" s="240"/>
      <c r="P174" s="240"/>
    </row>
    <row r="175" spans="1:16" ht="19.5">
      <c r="A175" s="240"/>
      <c r="B175" s="240"/>
      <c r="C175" s="240"/>
      <c r="D175" s="240"/>
      <c r="E175" s="240"/>
      <c r="F175" s="240"/>
      <c r="G175" s="240"/>
      <c r="H175" s="240"/>
      <c r="I175" s="240"/>
      <c r="J175" s="240"/>
      <c r="K175" s="240"/>
      <c r="L175" s="240"/>
      <c r="M175" s="240"/>
      <c r="N175" s="240"/>
      <c r="O175" s="240"/>
      <c r="P175" s="240"/>
    </row>
    <row r="176" spans="1:16" ht="19.5">
      <c r="A176" s="240"/>
      <c r="B176" s="240"/>
      <c r="C176" s="240"/>
      <c r="D176" s="240"/>
      <c r="E176" s="240"/>
      <c r="F176" s="240"/>
      <c r="G176" s="240"/>
      <c r="H176" s="240"/>
      <c r="I176" s="240"/>
      <c r="J176" s="240"/>
      <c r="K176" s="240"/>
      <c r="L176" s="240"/>
      <c r="M176" s="240"/>
      <c r="N176" s="240"/>
      <c r="O176" s="240"/>
      <c r="P176" s="240"/>
    </row>
    <row r="177" spans="1:16" ht="19.5">
      <c r="A177" s="240"/>
      <c r="B177" s="240"/>
      <c r="C177" s="240"/>
      <c r="D177" s="240"/>
      <c r="E177" s="240"/>
      <c r="F177" s="240"/>
      <c r="G177" s="240"/>
      <c r="H177" s="240"/>
      <c r="I177" s="240"/>
      <c r="J177" s="240"/>
      <c r="K177" s="240"/>
      <c r="L177" s="240"/>
      <c r="M177" s="240"/>
      <c r="N177" s="240"/>
      <c r="O177" s="240"/>
      <c r="P177" s="240"/>
    </row>
    <row r="178" spans="1:16" ht="19.5">
      <c r="A178" s="240"/>
      <c r="B178" s="240"/>
      <c r="C178" s="240"/>
      <c r="D178" s="240"/>
      <c r="E178" s="240"/>
      <c r="F178" s="240"/>
      <c r="G178" s="240"/>
      <c r="H178" s="240"/>
      <c r="I178" s="240"/>
      <c r="J178" s="240"/>
      <c r="K178" s="240"/>
      <c r="L178" s="240"/>
      <c r="M178" s="240"/>
      <c r="N178" s="240"/>
      <c r="O178" s="240"/>
      <c r="P178" s="240"/>
    </row>
    <row r="179" spans="1:16" ht="19.5">
      <c r="A179" s="240"/>
      <c r="B179" s="240"/>
      <c r="C179" s="240"/>
      <c r="D179" s="240"/>
      <c r="E179" s="240"/>
      <c r="F179" s="240"/>
      <c r="G179" s="240"/>
      <c r="H179" s="240"/>
      <c r="I179" s="240"/>
      <c r="J179" s="240"/>
      <c r="K179" s="240"/>
      <c r="L179" s="240"/>
      <c r="M179" s="240"/>
      <c r="N179" s="240"/>
      <c r="O179" s="240"/>
      <c r="P179" s="240"/>
    </row>
    <row r="180" spans="1:16" ht="19.5">
      <c r="A180" s="240"/>
      <c r="B180" s="240"/>
      <c r="C180" s="240"/>
      <c r="D180" s="240"/>
      <c r="E180" s="240"/>
      <c r="F180" s="240"/>
      <c r="G180" s="240"/>
      <c r="H180" s="240"/>
      <c r="I180" s="240"/>
      <c r="J180" s="240"/>
      <c r="K180" s="240"/>
      <c r="L180" s="240"/>
      <c r="M180" s="240"/>
      <c r="N180" s="240"/>
      <c r="O180" s="240"/>
      <c r="P180" s="240"/>
    </row>
    <row r="181" spans="1:16" ht="19.5">
      <c r="A181" s="240"/>
      <c r="B181" s="240"/>
      <c r="C181" s="240"/>
      <c r="D181" s="240"/>
      <c r="E181" s="240"/>
      <c r="F181" s="240"/>
      <c r="G181" s="240"/>
      <c r="H181" s="240"/>
      <c r="I181" s="240"/>
      <c r="J181" s="240"/>
      <c r="K181" s="240"/>
      <c r="L181" s="240"/>
      <c r="M181" s="240"/>
      <c r="N181" s="240"/>
      <c r="O181" s="240"/>
      <c r="P181" s="240"/>
    </row>
    <row r="182" spans="1:16" ht="19.5">
      <c r="A182" s="240"/>
      <c r="B182" s="240"/>
      <c r="C182" s="240"/>
      <c r="D182" s="240"/>
      <c r="E182" s="240"/>
      <c r="F182" s="240"/>
      <c r="G182" s="240"/>
      <c r="H182" s="240"/>
      <c r="I182" s="240"/>
      <c r="J182" s="240"/>
      <c r="K182" s="240"/>
      <c r="L182" s="240"/>
      <c r="M182" s="240"/>
      <c r="N182" s="240"/>
      <c r="O182" s="240"/>
      <c r="P182" s="240"/>
    </row>
    <row r="183" spans="1:16" ht="19.5">
      <c r="A183" s="240"/>
      <c r="B183" s="240"/>
      <c r="C183" s="240"/>
      <c r="D183" s="240"/>
      <c r="E183" s="240"/>
      <c r="F183" s="240"/>
      <c r="G183" s="240"/>
      <c r="H183" s="240"/>
      <c r="I183" s="240"/>
      <c r="J183" s="240"/>
      <c r="K183" s="240"/>
      <c r="L183" s="240"/>
      <c r="M183" s="240"/>
      <c r="N183" s="240"/>
      <c r="O183" s="240"/>
      <c r="P183" s="240"/>
    </row>
    <row r="184" spans="1:16" ht="19.5">
      <c r="A184" s="240"/>
      <c r="B184" s="240"/>
      <c r="C184" s="240"/>
      <c r="D184" s="240"/>
      <c r="E184" s="240"/>
      <c r="F184" s="240"/>
      <c r="G184" s="240"/>
      <c r="H184" s="240"/>
      <c r="I184" s="240"/>
      <c r="J184" s="240"/>
      <c r="K184" s="240"/>
      <c r="L184" s="240"/>
      <c r="M184" s="240"/>
      <c r="N184" s="240"/>
      <c r="O184" s="240"/>
      <c r="P184" s="240"/>
    </row>
    <row r="185" spans="1:16" ht="19.5">
      <c r="A185" s="240"/>
      <c r="B185" s="240"/>
      <c r="C185" s="240"/>
      <c r="D185" s="240"/>
      <c r="E185" s="240"/>
      <c r="F185" s="240"/>
      <c r="G185" s="240"/>
      <c r="H185" s="240"/>
      <c r="I185" s="240"/>
      <c r="J185" s="240"/>
      <c r="K185" s="240"/>
      <c r="L185" s="240"/>
      <c r="M185" s="240"/>
      <c r="N185" s="240"/>
      <c r="O185" s="240"/>
      <c r="P185" s="240"/>
    </row>
    <row r="186" spans="1:16" ht="19.5">
      <c r="A186" s="240"/>
      <c r="B186" s="240"/>
      <c r="C186" s="240"/>
      <c r="D186" s="240"/>
      <c r="E186" s="240"/>
      <c r="F186" s="240"/>
      <c r="G186" s="240"/>
      <c r="H186" s="240"/>
      <c r="I186" s="240"/>
      <c r="J186" s="240"/>
      <c r="K186" s="240"/>
      <c r="L186" s="240"/>
      <c r="M186" s="240"/>
      <c r="N186" s="240"/>
      <c r="O186" s="240"/>
      <c r="P186" s="240"/>
    </row>
    <row r="187" spans="1:16" ht="19.5">
      <c r="A187" s="240"/>
      <c r="B187" s="240"/>
      <c r="C187" s="240"/>
      <c r="D187" s="240"/>
      <c r="E187" s="240"/>
      <c r="F187" s="240"/>
      <c r="G187" s="240"/>
      <c r="H187" s="240"/>
      <c r="I187" s="240"/>
      <c r="J187" s="240"/>
      <c r="K187" s="240"/>
      <c r="L187" s="240"/>
      <c r="M187" s="240"/>
      <c r="N187" s="240"/>
      <c r="O187" s="240"/>
      <c r="P187" s="240"/>
    </row>
    <row r="188" spans="1:16" ht="19.5">
      <c r="A188" s="240"/>
      <c r="B188" s="240"/>
      <c r="C188" s="240"/>
      <c r="D188" s="240"/>
      <c r="E188" s="240"/>
      <c r="F188" s="240"/>
      <c r="G188" s="240"/>
      <c r="H188" s="240"/>
      <c r="I188" s="240"/>
      <c r="J188" s="240"/>
      <c r="K188" s="240"/>
      <c r="L188" s="240"/>
      <c r="M188" s="240"/>
      <c r="N188" s="240"/>
      <c r="O188" s="240"/>
      <c r="P188" s="240"/>
    </row>
    <row r="189" spans="1:16" ht="19.5">
      <c r="A189" s="240"/>
      <c r="B189" s="240"/>
      <c r="C189" s="240"/>
      <c r="D189" s="240"/>
      <c r="E189" s="240"/>
      <c r="F189" s="240"/>
      <c r="G189" s="240"/>
      <c r="H189" s="240"/>
      <c r="I189" s="240"/>
      <c r="J189" s="240"/>
      <c r="K189" s="240"/>
      <c r="L189" s="240"/>
      <c r="M189" s="240"/>
      <c r="N189" s="240"/>
      <c r="O189" s="240"/>
      <c r="P189" s="240"/>
    </row>
    <row r="190" spans="1:16" ht="19.5">
      <c r="A190" s="240"/>
      <c r="B190" s="240"/>
      <c r="C190" s="240"/>
      <c r="D190" s="240"/>
      <c r="E190" s="240"/>
      <c r="F190" s="240"/>
      <c r="G190" s="240"/>
      <c r="H190" s="240"/>
      <c r="I190" s="240"/>
      <c r="J190" s="240"/>
      <c r="K190" s="240"/>
      <c r="L190" s="240"/>
      <c r="M190" s="240"/>
      <c r="N190" s="240"/>
      <c r="O190" s="240"/>
      <c r="P190" s="240"/>
    </row>
    <row r="191" spans="1:16" ht="19.5">
      <c r="A191" s="240"/>
      <c r="B191" s="240"/>
      <c r="C191" s="240"/>
      <c r="D191" s="240"/>
      <c r="E191" s="240"/>
      <c r="F191" s="240"/>
      <c r="G191" s="240"/>
      <c r="H191" s="240"/>
      <c r="I191" s="240"/>
      <c r="J191" s="240"/>
      <c r="K191" s="240"/>
      <c r="L191" s="240"/>
      <c r="M191" s="240"/>
      <c r="N191" s="240"/>
      <c r="O191" s="240"/>
      <c r="P191" s="240"/>
    </row>
    <row r="192" spans="1:16" ht="19.5">
      <c r="A192" s="240"/>
      <c r="B192" s="240"/>
      <c r="C192" s="240"/>
      <c r="D192" s="240"/>
      <c r="E192" s="240"/>
      <c r="F192" s="240"/>
      <c r="G192" s="240"/>
      <c r="H192" s="240"/>
      <c r="I192" s="240"/>
      <c r="J192" s="240"/>
      <c r="K192" s="240"/>
      <c r="L192" s="240"/>
      <c r="M192" s="240"/>
      <c r="N192" s="240"/>
      <c r="O192" s="240"/>
      <c r="P192" s="240"/>
    </row>
    <row r="193" spans="1:16" ht="19.5">
      <c r="A193" s="240"/>
      <c r="B193" s="240"/>
      <c r="C193" s="240"/>
      <c r="D193" s="240"/>
      <c r="E193" s="240"/>
      <c r="F193" s="240"/>
      <c r="G193" s="240"/>
      <c r="H193" s="240"/>
      <c r="I193" s="240"/>
      <c r="J193" s="240"/>
      <c r="K193" s="240"/>
      <c r="L193" s="240"/>
      <c r="M193" s="240"/>
      <c r="N193" s="240"/>
      <c r="O193" s="240"/>
      <c r="P193" s="240"/>
    </row>
    <row r="194" spans="1:16" ht="19.5">
      <c r="A194" s="240"/>
      <c r="B194" s="240"/>
      <c r="C194" s="240"/>
      <c r="D194" s="240"/>
      <c r="E194" s="240"/>
      <c r="F194" s="240"/>
      <c r="G194" s="240"/>
      <c r="H194" s="240"/>
      <c r="I194" s="240"/>
      <c r="J194" s="240"/>
      <c r="K194" s="240"/>
      <c r="L194" s="240"/>
      <c r="M194" s="240"/>
      <c r="N194" s="240"/>
      <c r="O194" s="240"/>
      <c r="P194" s="240"/>
    </row>
    <row r="195" spans="1:16" ht="19.5">
      <c r="A195" s="240"/>
      <c r="B195" s="240"/>
      <c r="C195" s="240"/>
      <c r="D195" s="240"/>
      <c r="E195" s="240"/>
      <c r="F195" s="240"/>
      <c r="G195" s="240"/>
      <c r="H195" s="240"/>
      <c r="I195" s="240"/>
      <c r="J195" s="240"/>
      <c r="K195" s="240"/>
      <c r="L195" s="240"/>
      <c r="M195" s="240"/>
      <c r="N195" s="240"/>
      <c r="O195" s="240"/>
      <c r="P195" s="240"/>
    </row>
    <row r="196" spans="1:16" ht="19.5">
      <c r="A196" s="240"/>
      <c r="B196" s="240"/>
      <c r="C196" s="240"/>
      <c r="D196" s="240"/>
      <c r="E196" s="240"/>
      <c r="F196" s="240"/>
      <c r="G196" s="240"/>
      <c r="H196" s="240"/>
      <c r="I196" s="240"/>
      <c r="J196" s="240"/>
      <c r="K196" s="240"/>
      <c r="L196" s="240"/>
      <c r="M196" s="240"/>
      <c r="N196" s="240"/>
      <c r="O196" s="240"/>
      <c r="P196" s="240"/>
    </row>
    <row r="197" spans="1:16" ht="19.5">
      <c r="A197" s="240"/>
      <c r="B197" s="240"/>
      <c r="C197" s="240"/>
      <c r="D197" s="240"/>
      <c r="E197" s="240"/>
      <c r="F197" s="240"/>
      <c r="G197" s="240"/>
      <c r="H197" s="240"/>
      <c r="I197" s="240"/>
      <c r="J197" s="240"/>
      <c r="K197" s="240"/>
      <c r="L197" s="240"/>
      <c r="M197" s="240"/>
      <c r="N197" s="240"/>
      <c r="O197" s="240"/>
      <c r="P197" s="240"/>
    </row>
    <row r="198" spans="1:16" ht="19.5">
      <c r="A198" s="240"/>
      <c r="B198" s="240"/>
      <c r="C198" s="240"/>
      <c r="D198" s="240"/>
      <c r="E198" s="240"/>
      <c r="F198" s="240"/>
      <c r="G198" s="240"/>
      <c r="H198" s="240"/>
      <c r="I198" s="240"/>
      <c r="J198" s="240"/>
      <c r="K198" s="240"/>
      <c r="L198" s="240"/>
      <c r="M198" s="240"/>
      <c r="N198" s="240"/>
      <c r="O198" s="240"/>
      <c r="P198" s="240"/>
    </row>
    <row r="199" spans="1:16" ht="19.5">
      <c r="A199" s="240"/>
      <c r="B199" s="240"/>
      <c r="C199" s="240"/>
      <c r="D199" s="240"/>
      <c r="E199" s="240"/>
      <c r="F199" s="240"/>
      <c r="G199" s="240"/>
      <c r="H199" s="240"/>
      <c r="I199" s="240"/>
      <c r="J199" s="240"/>
      <c r="K199" s="240"/>
      <c r="L199" s="240"/>
      <c r="M199" s="240"/>
      <c r="N199" s="240"/>
      <c r="O199" s="240"/>
      <c r="P199" s="240"/>
    </row>
    <row r="200" spans="1:16" ht="19.5">
      <c r="A200" s="240"/>
      <c r="B200" s="240"/>
      <c r="C200" s="240"/>
      <c r="D200" s="240"/>
      <c r="E200" s="240"/>
      <c r="F200" s="240"/>
      <c r="G200" s="240"/>
      <c r="H200" s="240"/>
      <c r="I200" s="240"/>
      <c r="J200" s="240"/>
      <c r="K200" s="240"/>
      <c r="L200" s="240"/>
      <c r="M200" s="240"/>
      <c r="N200" s="240"/>
      <c r="O200" s="240"/>
      <c r="P200" s="240"/>
    </row>
    <row r="201" spans="1:16" ht="19.5">
      <c r="A201" s="240"/>
      <c r="B201" s="240"/>
      <c r="C201" s="240"/>
      <c r="D201" s="240"/>
      <c r="E201" s="240"/>
      <c r="F201" s="240"/>
      <c r="G201" s="240"/>
      <c r="H201" s="240"/>
      <c r="I201" s="240"/>
      <c r="J201" s="240"/>
      <c r="K201" s="240"/>
      <c r="L201" s="240"/>
      <c r="M201" s="240"/>
      <c r="N201" s="240"/>
      <c r="O201" s="240"/>
      <c r="P201" s="240"/>
    </row>
    <row r="202" spans="1:16" ht="19.5">
      <c r="A202" s="240"/>
      <c r="B202" s="240"/>
      <c r="C202" s="240"/>
      <c r="D202" s="240"/>
      <c r="E202" s="240"/>
      <c r="F202" s="240"/>
      <c r="G202" s="240"/>
      <c r="H202" s="240"/>
      <c r="I202" s="240"/>
      <c r="J202" s="240"/>
      <c r="K202" s="240"/>
      <c r="L202" s="240"/>
      <c r="M202" s="240"/>
      <c r="N202" s="240"/>
      <c r="O202" s="240"/>
      <c r="P202" s="240"/>
    </row>
    <row r="203" spans="1:16" ht="19.5">
      <c r="A203" s="240"/>
      <c r="B203" s="240"/>
      <c r="C203" s="240"/>
      <c r="D203" s="240"/>
      <c r="E203" s="240"/>
      <c r="F203" s="240"/>
      <c r="G203" s="240"/>
      <c r="H203" s="240"/>
      <c r="I203" s="240"/>
      <c r="J203" s="240"/>
      <c r="K203" s="240"/>
      <c r="L203" s="240"/>
      <c r="M203" s="240"/>
      <c r="N203" s="240"/>
      <c r="O203" s="240"/>
      <c r="P203" s="240"/>
    </row>
    <row r="204" spans="1:16" ht="19.5">
      <c r="A204" s="240"/>
      <c r="B204" s="240"/>
      <c r="C204" s="240"/>
      <c r="D204" s="240"/>
      <c r="E204" s="240"/>
      <c r="F204" s="240"/>
      <c r="G204" s="240"/>
      <c r="H204" s="240"/>
      <c r="I204" s="240"/>
      <c r="J204" s="240"/>
      <c r="K204" s="240"/>
      <c r="L204" s="240"/>
      <c r="M204" s="240"/>
      <c r="N204" s="240"/>
      <c r="O204" s="240"/>
      <c r="P204" s="240"/>
    </row>
    <row r="205" spans="1:16" ht="19.5">
      <c r="A205" s="240"/>
      <c r="B205" s="240"/>
      <c r="C205" s="240"/>
      <c r="D205" s="240"/>
      <c r="E205" s="240"/>
      <c r="F205" s="240"/>
      <c r="G205" s="240"/>
      <c r="H205" s="240"/>
      <c r="I205" s="240"/>
      <c r="J205" s="240"/>
      <c r="K205" s="240"/>
      <c r="L205" s="240"/>
      <c r="M205" s="240"/>
      <c r="N205" s="240"/>
      <c r="O205" s="240"/>
      <c r="P205" s="240"/>
    </row>
    <row r="206" spans="1:16" ht="19.5">
      <c r="A206" s="240"/>
      <c r="B206" s="240"/>
      <c r="C206" s="240"/>
      <c r="D206" s="240"/>
      <c r="E206" s="240"/>
      <c r="F206" s="240"/>
      <c r="G206" s="240"/>
      <c r="H206" s="240"/>
      <c r="I206" s="240"/>
      <c r="J206" s="240"/>
      <c r="K206" s="240"/>
      <c r="L206" s="240"/>
      <c r="M206" s="240"/>
      <c r="N206" s="240"/>
      <c r="O206" s="240"/>
      <c r="P206" s="240"/>
    </row>
    <row r="207" spans="1:16" ht="19.5">
      <c r="A207" s="240"/>
      <c r="B207" s="240"/>
      <c r="C207" s="240"/>
      <c r="D207" s="240"/>
      <c r="E207" s="240"/>
      <c r="F207" s="240"/>
      <c r="G207" s="240"/>
      <c r="H207" s="240"/>
      <c r="I207" s="240"/>
      <c r="J207" s="240"/>
      <c r="K207" s="240"/>
      <c r="L207" s="240"/>
      <c r="M207" s="240"/>
      <c r="N207" s="240"/>
      <c r="O207" s="240"/>
      <c r="P207" s="240"/>
    </row>
    <row r="208" spans="1:16" ht="19.5">
      <c r="A208" s="240"/>
      <c r="B208" s="240"/>
      <c r="C208" s="240"/>
      <c r="D208" s="240"/>
      <c r="E208" s="240"/>
      <c r="F208" s="240"/>
      <c r="G208" s="240"/>
      <c r="H208" s="240"/>
      <c r="I208" s="240"/>
      <c r="J208" s="240"/>
      <c r="K208" s="240"/>
      <c r="L208" s="240"/>
      <c r="M208" s="240"/>
      <c r="N208" s="240"/>
      <c r="O208" s="240"/>
      <c r="P208" s="240"/>
    </row>
    <row r="209" spans="1:16" ht="19.5">
      <c r="A209" s="240"/>
      <c r="B209" s="240"/>
      <c r="C209" s="240"/>
      <c r="D209" s="240"/>
      <c r="E209" s="240"/>
      <c r="F209" s="240"/>
      <c r="G209" s="240"/>
      <c r="H209" s="240"/>
      <c r="I209" s="240"/>
      <c r="J209" s="240"/>
      <c r="K209" s="240"/>
      <c r="L209" s="240"/>
      <c r="M209" s="240"/>
      <c r="N209" s="240"/>
      <c r="O209" s="240"/>
      <c r="P209" s="240"/>
    </row>
    <row r="210" spans="1:16" ht="19.5">
      <c r="A210" s="240"/>
      <c r="B210" s="240"/>
      <c r="C210" s="240"/>
      <c r="D210" s="240"/>
      <c r="E210" s="240"/>
      <c r="F210" s="240"/>
      <c r="G210" s="240"/>
      <c r="H210" s="240"/>
      <c r="I210" s="240"/>
      <c r="J210" s="240"/>
      <c r="K210" s="240"/>
      <c r="L210" s="240"/>
      <c r="M210" s="240"/>
      <c r="N210" s="240"/>
      <c r="O210" s="240"/>
      <c r="P210" s="240"/>
    </row>
    <row r="211" spans="1:16" ht="19.5">
      <c r="A211" s="240"/>
      <c r="B211" s="240"/>
      <c r="C211" s="240"/>
      <c r="D211" s="240"/>
      <c r="E211" s="240"/>
      <c r="F211" s="240"/>
      <c r="G211" s="240"/>
      <c r="H211" s="240"/>
      <c r="I211" s="240"/>
      <c r="J211" s="240"/>
      <c r="K211" s="240"/>
      <c r="L211" s="240"/>
      <c r="M211" s="240"/>
      <c r="N211" s="240"/>
      <c r="O211" s="240"/>
      <c r="P211" s="240"/>
    </row>
    <row r="212" spans="1:16" ht="19.5">
      <c r="A212" s="240"/>
      <c r="B212" s="240"/>
      <c r="C212" s="240"/>
      <c r="D212" s="240"/>
      <c r="E212" s="240"/>
      <c r="F212" s="240"/>
      <c r="G212" s="240"/>
      <c r="H212" s="240"/>
      <c r="I212" s="240"/>
      <c r="J212" s="240"/>
      <c r="K212" s="240"/>
      <c r="L212" s="240"/>
      <c r="M212" s="240"/>
      <c r="N212" s="240"/>
      <c r="O212" s="240"/>
      <c r="P212" s="240"/>
    </row>
    <row r="213" spans="1:16" ht="19.5">
      <c r="A213" s="240"/>
      <c r="B213" s="240"/>
      <c r="C213" s="240"/>
      <c r="D213" s="240"/>
      <c r="E213" s="240"/>
      <c r="F213" s="240"/>
      <c r="G213" s="240"/>
      <c r="H213" s="240"/>
      <c r="I213" s="240"/>
      <c r="J213" s="240"/>
      <c r="K213" s="240"/>
      <c r="L213" s="240"/>
      <c r="M213" s="240"/>
      <c r="N213" s="240"/>
      <c r="O213" s="240"/>
      <c r="P213" s="240"/>
    </row>
    <row r="214" spans="1:16" ht="19.5">
      <c r="A214" s="240"/>
      <c r="B214" s="240"/>
      <c r="C214" s="240"/>
      <c r="D214" s="240"/>
      <c r="E214" s="240"/>
      <c r="F214" s="240"/>
      <c r="G214" s="240"/>
      <c r="H214" s="240"/>
      <c r="I214" s="240"/>
      <c r="J214" s="240"/>
      <c r="K214" s="240"/>
      <c r="L214" s="240"/>
      <c r="M214" s="240"/>
      <c r="N214" s="240"/>
      <c r="O214" s="240"/>
      <c r="P214" s="240"/>
    </row>
    <row r="215" spans="1:16" ht="19.5">
      <c r="A215" s="240"/>
      <c r="B215" s="240"/>
      <c r="C215" s="240"/>
      <c r="D215" s="240"/>
      <c r="E215" s="240"/>
      <c r="F215" s="240"/>
      <c r="G215" s="240"/>
      <c r="H215" s="240"/>
      <c r="I215" s="240"/>
      <c r="J215" s="240"/>
      <c r="K215" s="240"/>
      <c r="L215" s="240"/>
      <c r="M215" s="240"/>
      <c r="N215" s="240"/>
      <c r="O215" s="240"/>
      <c r="P215" s="240"/>
    </row>
    <row r="216" spans="1:16" ht="19.5">
      <c r="A216" s="240"/>
      <c r="B216" s="240"/>
      <c r="C216" s="240"/>
      <c r="D216" s="240"/>
      <c r="E216" s="240"/>
      <c r="F216" s="240"/>
      <c r="G216" s="240"/>
      <c r="H216" s="240"/>
      <c r="I216" s="240"/>
      <c r="J216" s="240"/>
      <c r="K216" s="240"/>
      <c r="L216" s="240"/>
      <c r="M216" s="240"/>
      <c r="N216" s="240"/>
      <c r="O216" s="240"/>
      <c r="P216" s="240"/>
    </row>
    <row r="217" spans="1:16" ht="19.5">
      <c r="A217" s="240"/>
      <c r="B217" s="240"/>
      <c r="C217" s="240"/>
      <c r="D217" s="240"/>
      <c r="E217" s="240"/>
      <c r="F217" s="240"/>
      <c r="G217" s="240"/>
      <c r="H217" s="240"/>
      <c r="I217" s="240"/>
      <c r="J217" s="240"/>
      <c r="K217" s="240"/>
      <c r="L217" s="240"/>
      <c r="M217" s="240"/>
      <c r="N217" s="240"/>
      <c r="O217" s="240"/>
      <c r="P217" s="240"/>
    </row>
    <row r="218" spans="1:16" ht="19.5">
      <c r="A218" s="240"/>
      <c r="B218" s="240"/>
      <c r="C218" s="240"/>
      <c r="D218" s="240"/>
      <c r="E218" s="240"/>
      <c r="F218" s="240"/>
      <c r="G218" s="240"/>
      <c r="H218" s="240"/>
      <c r="I218" s="240"/>
      <c r="J218" s="240"/>
      <c r="K218" s="240"/>
      <c r="L218" s="240"/>
      <c r="M218" s="240"/>
      <c r="N218" s="240"/>
      <c r="O218" s="240"/>
      <c r="P218" s="240"/>
    </row>
    <row r="219" spans="1:16" ht="19.5">
      <c r="A219" s="240"/>
      <c r="B219" s="240"/>
      <c r="C219" s="240"/>
      <c r="D219" s="240"/>
      <c r="E219" s="240"/>
      <c r="F219" s="240"/>
      <c r="G219" s="240"/>
      <c r="H219" s="240"/>
      <c r="I219" s="240"/>
      <c r="J219" s="240"/>
      <c r="K219" s="240"/>
      <c r="L219" s="240"/>
      <c r="M219" s="240"/>
      <c r="N219" s="240"/>
      <c r="O219" s="240"/>
      <c r="P219" s="240"/>
    </row>
    <row r="220" spans="1:16" ht="19.5">
      <c r="A220" s="240"/>
      <c r="B220" s="240"/>
      <c r="C220" s="240"/>
      <c r="D220" s="240"/>
      <c r="E220" s="240"/>
      <c r="F220" s="240"/>
      <c r="G220" s="240"/>
      <c r="H220" s="240"/>
      <c r="I220" s="240"/>
      <c r="J220" s="240"/>
      <c r="K220" s="240"/>
      <c r="L220" s="240"/>
      <c r="M220" s="240"/>
      <c r="N220" s="240"/>
      <c r="O220" s="240"/>
      <c r="P220" s="240"/>
    </row>
    <row r="221" spans="1:16" ht="19.5">
      <c r="A221" s="240"/>
      <c r="B221" s="240"/>
      <c r="C221" s="240"/>
      <c r="D221" s="240"/>
      <c r="E221" s="240"/>
      <c r="F221" s="240"/>
      <c r="G221" s="240"/>
      <c r="H221" s="240"/>
      <c r="I221" s="240"/>
      <c r="J221" s="240"/>
      <c r="K221" s="240"/>
      <c r="L221" s="240"/>
      <c r="M221" s="240"/>
      <c r="N221" s="240"/>
      <c r="O221" s="240"/>
      <c r="P221" s="240"/>
    </row>
    <row r="222" spans="1:16" ht="19.5">
      <c r="A222" s="240"/>
      <c r="B222" s="240"/>
      <c r="C222" s="240"/>
      <c r="D222" s="240"/>
      <c r="E222" s="240"/>
      <c r="F222" s="240"/>
      <c r="G222" s="240"/>
      <c r="H222" s="240"/>
      <c r="I222" s="240"/>
      <c r="J222" s="240"/>
      <c r="K222" s="240"/>
      <c r="L222" s="240"/>
      <c r="M222" s="240"/>
      <c r="N222" s="240"/>
      <c r="O222" s="240"/>
      <c r="P222" s="240"/>
    </row>
    <row r="223" spans="1:16" ht="19.5">
      <c r="A223" s="240"/>
      <c r="B223" s="240"/>
      <c r="C223" s="240"/>
      <c r="D223" s="240"/>
      <c r="E223" s="240"/>
      <c r="F223" s="240"/>
      <c r="G223" s="240"/>
      <c r="H223" s="240"/>
      <c r="I223" s="240"/>
      <c r="J223" s="240"/>
      <c r="K223" s="240"/>
      <c r="L223" s="240"/>
      <c r="M223" s="240"/>
      <c r="N223" s="240"/>
      <c r="O223" s="240"/>
      <c r="P223" s="240"/>
    </row>
    <row r="224" spans="1:16" ht="19.5">
      <c r="A224" s="240"/>
      <c r="B224" s="240"/>
      <c r="C224" s="240"/>
      <c r="D224" s="240"/>
      <c r="E224" s="240"/>
      <c r="F224" s="240"/>
      <c r="G224" s="240"/>
      <c r="H224" s="240"/>
      <c r="I224" s="240"/>
      <c r="J224" s="240"/>
      <c r="K224" s="240"/>
      <c r="L224" s="240"/>
      <c r="M224" s="240"/>
      <c r="N224" s="240"/>
      <c r="O224" s="240"/>
      <c r="P224" s="240"/>
    </row>
    <row r="225" spans="1:16" ht="19.5">
      <c r="A225" s="240"/>
      <c r="B225" s="240"/>
      <c r="C225" s="240"/>
      <c r="D225" s="240"/>
      <c r="E225" s="240"/>
      <c r="F225" s="240"/>
      <c r="G225" s="240"/>
      <c r="H225" s="240"/>
      <c r="I225" s="240"/>
      <c r="J225" s="240"/>
      <c r="K225" s="240"/>
      <c r="L225" s="240"/>
      <c r="M225" s="240"/>
      <c r="N225" s="240"/>
      <c r="O225" s="240"/>
      <c r="P225" s="240"/>
    </row>
    <row r="226" spans="1:16" ht="19.5">
      <c r="A226" s="240"/>
      <c r="B226" s="240"/>
      <c r="C226" s="240"/>
      <c r="D226" s="240"/>
      <c r="E226" s="240"/>
      <c r="F226" s="240"/>
      <c r="G226" s="240"/>
      <c r="H226" s="240"/>
      <c r="I226" s="240"/>
      <c r="J226" s="240"/>
      <c r="K226" s="240"/>
      <c r="L226" s="240"/>
      <c r="M226" s="240"/>
      <c r="N226" s="240"/>
      <c r="O226" s="240"/>
      <c r="P226" s="240"/>
    </row>
    <row r="227" spans="1:16" ht="19.5">
      <c r="A227" s="240"/>
      <c r="B227" s="240"/>
      <c r="C227" s="240"/>
      <c r="D227" s="240"/>
      <c r="E227" s="240"/>
      <c r="F227" s="240"/>
      <c r="G227" s="240"/>
      <c r="H227" s="240"/>
      <c r="I227" s="240"/>
      <c r="J227" s="240"/>
      <c r="K227" s="240"/>
      <c r="L227" s="240"/>
      <c r="M227" s="240"/>
      <c r="N227" s="240"/>
      <c r="O227" s="240"/>
      <c r="P227" s="240"/>
    </row>
    <row r="228" spans="1:16" ht="19.5">
      <c r="A228" s="240"/>
      <c r="B228" s="240"/>
      <c r="C228" s="240"/>
      <c r="D228" s="240"/>
      <c r="E228" s="240"/>
      <c r="F228" s="240"/>
      <c r="G228" s="240"/>
      <c r="H228" s="240"/>
      <c r="I228" s="240"/>
      <c r="J228" s="240"/>
      <c r="K228" s="240"/>
      <c r="L228" s="240"/>
      <c r="M228" s="240"/>
      <c r="N228" s="240"/>
      <c r="O228" s="240"/>
      <c r="P228" s="240"/>
    </row>
    <row r="229" spans="1:16" ht="19.5">
      <c r="A229" s="240"/>
      <c r="B229" s="240"/>
      <c r="C229" s="240"/>
      <c r="D229" s="240"/>
      <c r="E229" s="240"/>
      <c r="F229" s="240"/>
      <c r="G229" s="240"/>
      <c r="H229" s="240"/>
      <c r="I229" s="240"/>
      <c r="J229" s="240"/>
      <c r="K229" s="240"/>
      <c r="L229" s="240"/>
      <c r="M229" s="240"/>
      <c r="N229" s="240"/>
      <c r="O229" s="240"/>
      <c r="P229" s="240"/>
    </row>
    <row r="230" spans="1:16" ht="19.5">
      <c r="A230" s="240"/>
      <c r="B230" s="240"/>
      <c r="C230" s="240"/>
      <c r="D230" s="240"/>
      <c r="E230" s="240"/>
      <c r="F230" s="240"/>
      <c r="G230" s="240"/>
      <c r="H230" s="240"/>
      <c r="I230" s="240"/>
      <c r="J230" s="240"/>
      <c r="K230" s="240"/>
      <c r="L230" s="240"/>
      <c r="M230" s="240"/>
      <c r="N230" s="240"/>
      <c r="O230" s="240"/>
      <c r="P230" s="240"/>
    </row>
    <row r="231" spans="1:16" ht="19.5">
      <c r="A231" s="240"/>
      <c r="B231" s="240"/>
      <c r="C231" s="240"/>
      <c r="D231" s="240"/>
      <c r="E231" s="240"/>
      <c r="F231" s="240"/>
      <c r="G231" s="240"/>
      <c r="H231" s="240"/>
      <c r="I231" s="240"/>
      <c r="J231" s="240"/>
      <c r="K231" s="240"/>
      <c r="L231" s="240"/>
      <c r="M231" s="240"/>
      <c r="N231" s="240"/>
      <c r="O231" s="240"/>
      <c r="P231" s="240"/>
    </row>
    <row r="232" spans="1:16" ht="19.5">
      <c r="A232" s="240"/>
      <c r="B232" s="240"/>
      <c r="C232" s="240"/>
      <c r="D232" s="240"/>
      <c r="E232" s="240"/>
      <c r="F232" s="240"/>
      <c r="G232" s="240"/>
      <c r="H232" s="240"/>
      <c r="I232" s="240"/>
      <c r="J232" s="240"/>
      <c r="K232" s="240"/>
      <c r="L232" s="240"/>
      <c r="M232" s="240"/>
      <c r="N232" s="240"/>
      <c r="O232" s="240"/>
      <c r="P232" s="240"/>
    </row>
    <row r="233" spans="1:16" ht="19.5">
      <c r="A233" s="240"/>
      <c r="B233" s="240"/>
      <c r="C233" s="240"/>
      <c r="D233" s="240"/>
      <c r="E233" s="240"/>
      <c r="F233" s="240"/>
      <c r="G233" s="240"/>
      <c r="H233" s="240"/>
      <c r="I233" s="240"/>
      <c r="J233" s="240"/>
      <c r="K233" s="240"/>
      <c r="L233" s="240"/>
      <c r="M233" s="240"/>
      <c r="N233" s="240"/>
      <c r="O233" s="240"/>
      <c r="P233" s="240"/>
    </row>
    <row r="234" spans="1:16" ht="19.5">
      <c r="A234" s="240"/>
      <c r="B234" s="240"/>
      <c r="C234" s="240"/>
      <c r="D234" s="240"/>
      <c r="E234" s="240"/>
      <c r="F234" s="240"/>
      <c r="G234" s="240"/>
      <c r="H234" s="240"/>
      <c r="I234" s="240"/>
      <c r="J234" s="240"/>
      <c r="K234" s="240"/>
      <c r="L234" s="240"/>
      <c r="M234" s="240"/>
      <c r="N234" s="240"/>
      <c r="O234" s="240"/>
      <c r="P234" s="240"/>
    </row>
    <row r="235" spans="1:16" ht="19.5">
      <c r="A235" s="240"/>
      <c r="B235" s="240"/>
      <c r="C235" s="240"/>
      <c r="D235" s="240"/>
      <c r="E235" s="240"/>
      <c r="F235" s="240"/>
      <c r="G235" s="240"/>
      <c r="H235" s="240"/>
      <c r="I235" s="240"/>
      <c r="J235" s="240"/>
      <c r="K235" s="240"/>
      <c r="L235" s="240"/>
      <c r="M235" s="240"/>
      <c r="N235" s="240"/>
      <c r="O235" s="240"/>
      <c r="P235" s="240"/>
    </row>
    <row r="236" spans="1:16" ht="19.5">
      <c r="A236" s="240"/>
      <c r="B236" s="240"/>
      <c r="C236" s="240"/>
      <c r="D236" s="240"/>
      <c r="E236" s="240"/>
      <c r="F236" s="240"/>
      <c r="G236" s="240"/>
      <c r="H236" s="240"/>
      <c r="I236" s="240"/>
      <c r="J236" s="240"/>
      <c r="K236" s="240"/>
      <c r="L236" s="240"/>
      <c r="M236" s="240"/>
      <c r="N236" s="240"/>
      <c r="O236" s="240"/>
      <c r="P236" s="240"/>
    </row>
    <row r="237" spans="1:16" ht="19.5">
      <c r="A237" s="240"/>
      <c r="B237" s="240"/>
      <c r="C237" s="240"/>
      <c r="D237" s="240"/>
      <c r="E237" s="240"/>
      <c r="F237" s="240"/>
      <c r="G237" s="240"/>
      <c r="H237" s="240"/>
      <c r="I237" s="240"/>
      <c r="J237" s="240"/>
      <c r="K237" s="240"/>
      <c r="L237" s="240"/>
      <c r="M237" s="240"/>
      <c r="N237" s="240"/>
      <c r="O237" s="240"/>
      <c r="P237" s="240"/>
    </row>
    <row r="238" spans="1:16" ht="19.5">
      <c r="A238" s="240"/>
      <c r="B238" s="240"/>
      <c r="C238" s="240"/>
      <c r="D238" s="240"/>
      <c r="E238" s="240"/>
      <c r="F238" s="240"/>
      <c r="G238" s="240"/>
      <c r="H238" s="240"/>
      <c r="I238" s="240"/>
      <c r="J238" s="240"/>
      <c r="K238" s="240"/>
      <c r="L238" s="240"/>
      <c r="M238" s="240"/>
      <c r="N238" s="240"/>
      <c r="O238" s="240"/>
      <c r="P238" s="240"/>
    </row>
    <row r="239" spans="1:16" ht="19.5">
      <c r="A239" s="240"/>
      <c r="B239" s="240"/>
      <c r="C239" s="240"/>
      <c r="D239" s="240"/>
      <c r="E239" s="240"/>
      <c r="F239" s="240"/>
      <c r="G239" s="240"/>
      <c r="H239" s="240"/>
      <c r="I239" s="240"/>
      <c r="J239" s="240"/>
      <c r="K239" s="240"/>
      <c r="L239" s="240"/>
      <c r="M239" s="240"/>
      <c r="N239" s="240"/>
      <c r="O239" s="240"/>
      <c r="P239" s="240"/>
    </row>
    <row r="240" spans="1:16" ht="19.5">
      <c r="A240" s="240"/>
      <c r="B240" s="240"/>
      <c r="C240" s="240"/>
      <c r="D240" s="240"/>
      <c r="E240" s="240"/>
      <c r="F240" s="240"/>
      <c r="G240" s="240"/>
      <c r="H240" s="240"/>
      <c r="I240" s="240"/>
      <c r="J240" s="240"/>
      <c r="K240" s="240"/>
      <c r="L240" s="240"/>
      <c r="M240" s="240"/>
      <c r="N240" s="240"/>
      <c r="O240" s="240"/>
      <c r="P240" s="240"/>
    </row>
    <row r="241" spans="1:16" ht="19.5">
      <c r="A241" s="240"/>
      <c r="B241" s="240"/>
      <c r="C241" s="240"/>
      <c r="D241" s="240"/>
      <c r="E241" s="240"/>
      <c r="F241" s="240"/>
      <c r="G241" s="240"/>
      <c r="H241" s="240"/>
      <c r="I241" s="240"/>
      <c r="J241" s="240"/>
      <c r="K241" s="240"/>
      <c r="L241" s="240"/>
      <c r="M241" s="240"/>
      <c r="N241" s="240"/>
      <c r="O241" s="240"/>
      <c r="P241" s="240"/>
    </row>
    <row r="242" spans="1:16" ht="19.5">
      <c r="A242" s="240"/>
      <c r="B242" s="240"/>
      <c r="C242" s="240"/>
      <c r="D242" s="240"/>
      <c r="E242" s="240"/>
      <c r="F242" s="240"/>
      <c r="G242" s="240"/>
      <c r="H242" s="240"/>
      <c r="I242" s="240"/>
      <c r="J242" s="240"/>
      <c r="K242" s="240"/>
      <c r="L242" s="240"/>
      <c r="M242" s="240"/>
      <c r="N242" s="240"/>
      <c r="O242" s="240"/>
      <c r="P242" s="240"/>
    </row>
    <row r="243" spans="1:16" ht="19.5">
      <c r="A243" s="240"/>
      <c r="B243" s="240"/>
      <c r="C243" s="240"/>
      <c r="D243" s="240"/>
      <c r="E243" s="240"/>
      <c r="F243" s="240"/>
      <c r="G243" s="240"/>
      <c r="H243" s="240"/>
      <c r="I243" s="240"/>
      <c r="J243" s="240"/>
      <c r="K243" s="240"/>
      <c r="L243" s="240"/>
      <c r="M243" s="240"/>
      <c r="N243" s="240"/>
      <c r="O243" s="240"/>
      <c r="P243" s="240"/>
    </row>
    <row r="244" spans="1:16" ht="19.5">
      <c r="A244" s="240"/>
      <c r="B244" s="240"/>
      <c r="C244" s="240"/>
      <c r="D244" s="240"/>
      <c r="E244" s="240"/>
      <c r="F244" s="240"/>
      <c r="G244" s="240"/>
      <c r="H244" s="240"/>
      <c r="I244" s="240"/>
      <c r="J244" s="240"/>
      <c r="K244" s="240"/>
      <c r="L244" s="240"/>
      <c r="M244" s="240"/>
      <c r="N244" s="240"/>
      <c r="O244" s="240"/>
      <c r="P244" s="240"/>
    </row>
    <row r="245" spans="1:16" ht="19.5">
      <c r="A245" s="240"/>
      <c r="B245" s="240"/>
      <c r="C245" s="240"/>
      <c r="D245" s="240"/>
      <c r="E245" s="240"/>
      <c r="F245" s="240"/>
      <c r="G245" s="240"/>
      <c r="H245" s="240"/>
      <c r="I245" s="240"/>
      <c r="J245" s="240"/>
      <c r="K245" s="240"/>
      <c r="L245" s="240"/>
      <c r="M245" s="240"/>
      <c r="N245" s="240"/>
      <c r="O245" s="240"/>
      <c r="P245" s="240"/>
    </row>
    <row r="246" spans="1:16" ht="19.5">
      <c r="A246" s="240"/>
      <c r="B246" s="240"/>
      <c r="C246" s="240"/>
      <c r="D246" s="240"/>
      <c r="E246" s="240"/>
      <c r="F246" s="240"/>
      <c r="G246" s="240"/>
      <c r="H246" s="240"/>
      <c r="I246" s="240"/>
      <c r="J246" s="240"/>
      <c r="K246" s="240"/>
      <c r="L246" s="240"/>
      <c r="M246" s="240"/>
      <c r="N246" s="240"/>
      <c r="O246" s="240"/>
      <c r="P246" s="240"/>
    </row>
    <row r="247" spans="1:16" ht="19.5">
      <c r="A247" s="240"/>
      <c r="B247" s="240"/>
      <c r="C247" s="240"/>
      <c r="D247" s="240"/>
      <c r="E247" s="240"/>
      <c r="F247" s="240"/>
      <c r="G247" s="240"/>
      <c r="H247" s="240"/>
      <c r="I247" s="240"/>
      <c r="J247" s="240"/>
      <c r="K247" s="240"/>
      <c r="L247" s="240"/>
      <c r="M247" s="240"/>
      <c r="N247" s="240"/>
      <c r="O247" s="240"/>
      <c r="P247" s="240"/>
    </row>
    <row r="248" spans="1:16" ht="19.5">
      <c r="A248" s="240"/>
      <c r="B248" s="240"/>
      <c r="C248" s="240"/>
      <c r="D248" s="240"/>
      <c r="E248" s="240"/>
      <c r="F248" s="240"/>
      <c r="G248" s="240"/>
      <c r="H248" s="240"/>
      <c r="I248" s="240"/>
      <c r="J248" s="240"/>
      <c r="K248" s="240"/>
      <c r="L248" s="240"/>
      <c r="M248" s="240"/>
      <c r="N248" s="240"/>
      <c r="O248" s="240"/>
      <c r="P248" s="240"/>
    </row>
    <row r="249" spans="1:16" ht="19.5">
      <c r="A249" s="240"/>
      <c r="B249" s="240"/>
      <c r="C249" s="240"/>
      <c r="D249" s="240"/>
      <c r="E249" s="240"/>
      <c r="F249" s="240"/>
      <c r="G249" s="240"/>
      <c r="H249" s="240"/>
      <c r="I249" s="240"/>
      <c r="J249" s="240"/>
      <c r="K249" s="240"/>
      <c r="L249" s="240"/>
      <c r="M249" s="240"/>
      <c r="N249" s="240"/>
      <c r="O249" s="240"/>
      <c r="P249" s="240"/>
    </row>
    <row r="250" spans="1:16" ht="19.5">
      <c r="A250" s="240"/>
      <c r="B250" s="240"/>
      <c r="C250" s="240"/>
      <c r="D250" s="240"/>
      <c r="E250" s="240"/>
      <c r="F250" s="240"/>
      <c r="G250" s="240"/>
      <c r="H250" s="240"/>
      <c r="I250" s="240"/>
      <c r="J250" s="240"/>
      <c r="K250" s="240"/>
      <c r="L250" s="240"/>
      <c r="M250" s="240"/>
      <c r="N250" s="240"/>
      <c r="O250" s="240"/>
      <c r="P250" s="240"/>
    </row>
    <row r="251" spans="1:16" ht="19.5">
      <c r="A251" s="240"/>
      <c r="B251" s="240"/>
      <c r="C251" s="240"/>
      <c r="D251" s="240"/>
      <c r="E251" s="240"/>
      <c r="F251" s="240"/>
      <c r="G251" s="240"/>
      <c r="H251" s="240"/>
      <c r="I251" s="240"/>
      <c r="J251" s="240"/>
      <c r="K251" s="240"/>
      <c r="L251" s="240"/>
      <c r="M251" s="240"/>
      <c r="N251" s="240"/>
      <c r="O251" s="240"/>
      <c r="P251" s="240"/>
    </row>
    <row r="252" spans="1:16" ht="19.5">
      <c r="A252" s="240"/>
      <c r="B252" s="240"/>
      <c r="C252" s="240"/>
      <c r="D252" s="240"/>
      <c r="E252" s="240"/>
      <c r="F252" s="240"/>
      <c r="G252" s="240"/>
      <c r="H252" s="240"/>
      <c r="I252" s="240"/>
      <c r="J252" s="240"/>
      <c r="K252" s="240"/>
      <c r="L252" s="240"/>
      <c r="M252" s="240"/>
      <c r="N252" s="240"/>
      <c r="O252" s="240"/>
      <c r="P252" s="240"/>
    </row>
    <row r="253" spans="1:16" ht="19.5">
      <c r="A253" s="240"/>
      <c r="B253" s="240"/>
      <c r="C253" s="240"/>
      <c r="D253" s="240"/>
      <c r="E253" s="240"/>
      <c r="F253" s="240"/>
      <c r="G253" s="240"/>
      <c r="H253" s="240"/>
      <c r="I253" s="240"/>
      <c r="J253" s="240"/>
      <c r="K253" s="240"/>
      <c r="L253" s="240"/>
      <c r="M253" s="240"/>
      <c r="N253" s="240"/>
      <c r="O253" s="240"/>
      <c r="P253" s="240"/>
    </row>
    <row r="254" spans="1:16" ht="19.5">
      <c r="A254" s="240"/>
      <c r="B254" s="240"/>
      <c r="C254" s="240"/>
      <c r="D254" s="240"/>
      <c r="E254" s="240"/>
      <c r="F254" s="240"/>
      <c r="G254" s="240"/>
      <c r="H254" s="240"/>
      <c r="I254" s="240"/>
      <c r="J254" s="240"/>
      <c r="K254" s="240"/>
      <c r="L254" s="240"/>
      <c r="M254" s="240"/>
      <c r="N254" s="240"/>
      <c r="O254" s="240"/>
      <c r="P254" s="240"/>
    </row>
    <row r="255" spans="1:16" ht="19.5">
      <c r="A255" s="240"/>
      <c r="B255" s="240"/>
      <c r="C255" s="240"/>
      <c r="D255" s="240"/>
      <c r="E255" s="240"/>
      <c r="F255" s="240"/>
      <c r="G255" s="240"/>
      <c r="H255" s="240"/>
      <c r="I255" s="240"/>
      <c r="J255" s="240"/>
      <c r="K255" s="240"/>
      <c r="L255" s="240"/>
      <c r="M255" s="240"/>
      <c r="N255" s="240"/>
      <c r="O255" s="240"/>
      <c r="P255" s="240"/>
    </row>
    <row r="256" spans="1:16" ht="19.5">
      <c r="A256" s="240"/>
      <c r="B256" s="240"/>
      <c r="C256" s="240"/>
      <c r="D256" s="240"/>
      <c r="E256" s="240"/>
      <c r="F256" s="240"/>
      <c r="G256" s="240"/>
      <c r="H256" s="240"/>
      <c r="I256" s="240"/>
      <c r="J256" s="240"/>
      <c r="K256" s="240"/>
      <c r="L256" s="240"/>
      <c r="M256" s="240"/>
      <c r="N256" s="240"/>
      <c r="O256" s="240"/>
      <c r="P256" s="240"/>
    </row>
    <row r="257" spans="1:16" ht="19.5">
      <c r="A257" s="240"/>
      <c r="B257" s="240"/>
      <c r="C257" s="240"/>
      <c r="D257" s="240"/>
      <c r="E257" s="240"/>
      <c r="F257" s="240"/>
      <c r="G257" s="240"/>
      <c r="H257" s="240"/>
      <c r="I257" s="240"/>
      <c r="J257" s="240"/>
      <c r="K257" s="240"/>
      <c r="L257" s="240"/>
      <c r="M257" s="240"/>
      <c r="N257" s="240"/>
      <c r="O257" s="240"/>
      <c r="P257" s="240"/>
    </row>
    <row r="258" spans="1:16" ht="19.5">
      <c r="A258" s="240"/>
      <c r="B258" s="240"/>
      <c r="C258" s="240"/>
      <c r="D258" s="240"/>
      <c r="E258" s="240"/>
      <c r="F258" s="240"/>
      <c r="G258" s="240"/>
      <c r="H258" s="240"/>
      <c r="I258" s="240"/>
      <c r="J258" s="240"/>
      <c r="K258" s="240"/>
      <c r="L258" s="240"/>
      <c r="M258" s="240"/>
      <c r="N258" s="240"/>
      <c r="O258" s="240"/>
      <c r="P258" s="240"/>
    </row>
    <row r="259" spans="1:16" ht="19.5">
      <c r="A259" s="240"/>
      <c r="B259" s="240"/>
      <c r="C259" s="240"/>
      <c r="D259" s="240"/>
      <c r="E259" s="240"/>
      <c r="F259" s="240"/>
      <c r="G259" s="240"/>
      <c r="H259" s="240"/>
      <c r="I259" s="240"/>
      <c r="J259" s="240"/>
      <c r="K259" s="240"/>
      <c r="L259" s="240"/>
      <c r="M259" s="240"/>
      <c r="N259" s="240"/>
      <c r="O259" s="240"/>
      <c r="P259" s="240"/>
    </row>
    <row r="260" spans="1:16" ht="19.5">
      <c r="A260" s="240"/>
      <c r="B260" s="240"/>
      <c r="C260" s="240"/>
      <c r="D260" s="240"/>
      <c r="E260" s="240"/>
      <c r="F260" s="240"/>
      <c r="G260" s="240"/>
      <c r="H260" s="240"/>
      <c r="I260" s="240"/>
      <c r="J260" s="240"/>
      <c r="K260" s="240"/>
      <c r="L260" s="240"/>
      <c r="M260" s="240"/>
      <c r="N260" s="240"/>
      <c r="O260" s="240"/>
      <c r="P260" s="240"/>
    </row>
    <row r="261" spans="1:16" ht="19.5">
      <c r="A261" s="240"/>
      <c r="B261" s="240"/>
      <c r="C261" s="240"/>
      <c r="D261" s="240"/>
      <c r="E261" s="240"/>
      <c r="F261" s="240"/>
      <c r="G261" s="240"/>
      <c r="H261" s="240"/>
      <c r="I261" s="240"/>
      <c r="J261" s="240"/>
      <c r="K261" s="240"/>
      <c r="L261" s="240"/>
      <c r="M261" s="240"/>
      <c r="N261" s="240"/>
      <c r="O261" s="240"/>
      <c r="P261" s="240"/>
    </row>
    <row r="262" spans="1:16" ht="19.5">
      <c r="A262" s="240"/>
      <c r="B262" s="240"/>
      <c r="C262" s="240"/>
      <c r="D262" s="240"/>
      <c r="E262" s="240"/>
      <c r="F262" s="240"/>
      <c r="G262" s="240"/>
      <c r="H262" s="240"/>
      <c r="I262" s="240"/>
      <c r="J262" s="240"/>
      <c r="K262" s="240"/>
      <c r="L262" s="240"/>
      <c r="M262" s="240"/>
      <c r="N262" s="240"/>
      <c r="O262" s="240"/>
      <c r="P262" s="240"/>
    </row>
    <row r="263" spans="1:16" ht="19.5">
      <c r="A263" s="240"/>
      <c r="B263" s="240"/>
      <c r="C263" s="240"/>
      <c r="D263" s="240"/>
      <c r="E263" s="240"/>
      <c r="F263" s="240"/>
      <c r="G263" s="240"/>
      <c r="H263" s="240"/>
      <c r="I263" s="240"/>
      <c r="J263" s="240"/>
      <c r="K263" s="240"/>
      <c r="L263" s="240"/>
      <c r="M263" s="240"/>
      <c r="N263" s="240"/>
      <c r="O263" s="240"/>
      <c r="P263" s="240"/>
    </row>
    <row r="264" spans="1:16" ht="19.5">
      <c r="A264" s="240"/>
      <c r="B264" s="240"/>
      <c r="C264" s="240"/>
      <c r="D264" s="240"/>
      <c r="E264" s="240"/>
      <c r="F264" s="240"/>
      <c r="G264" s="240"/>
      <c r="H264" s="240"/>
      <c r="I264" s="240"/>
      <c r="J264" s="240"/>
      <c r="K264" s="240"/>
      <c r="L264" s="240"/>
      <c r="M264" s="240"/>
      <c r="N264" s="240"/>
      <c r="O264" s="240"/>
      <c r="P264" s="240"/>
    </row>
    <row r="265" spans="1:16" ht="19.5">
      <c r="A265" s="240"/>
      <c r="B265" s="240"/>
      <c r="C265" s="240"/>
      <c r="D265" s="240"/>
      <c r="E265" s="240"/>
      <c r="F265" s="240"/>
      <c r="G265" s="240"/>
      <c r="H265" s="240"/>
      <c r="I265" s="240"/>
      <c r="J265" s="240"/>
      <c r="K265" s="240"/>
      <c r="L265" s="240"/>
      <c r="M265" s="240"/>
      <c r="N265" s="240"/>
      <c r="O265" s="240"/>
      <c r="P265" s="240"/>
    </row>
    <row r="266" spans="1:16" ht="19.5">
      <c r="A266" s="240"/>
      <c r="B266" s="240"/>
      <c r="C266" s="240"/>
      <c r="D266" s="240"/>
      <c r="E266" s="240"/>
      <c r="F266" s="240"/>
      <c r="G266" s="240"/>
      <c r="H266" s="240"/>
      <c r="I266" s="240"/>
      <c r="J266" s="240"/>
      <c r="K266" s="240"/>
      <c r="L266" s="240"/>
      <c r="M266" s="240"/>
      <c r="N266" s="240"/>
      <c r="O266" s="240"/>
      <c r="P266" s="240"/>
    </row>
    <row r="267" spans="1:16" ht="19.5">
      <c r="A267" s="240"/>
      <c r="B267" s="240"/>
      <c r="C267" s="240"/>
      <c r="D267" s="240"/>
      <c r="E267" s="240"/>
      <c r="F267" s="240"/>
      <c r="G267" s="240"/>
      <c r="H267" s="240"/>
      <c r="I267" s="240"/>
      <c r="J267" s="240"/>
      <c r="K267" s="240"/>
      <c r="L267" s="240"/>
      <c r="M267" s="240"/>
      <c r="N267" s="240"/>
      <c r="O267" s="240"/>
      <c r="P267" s="240"/>
    </row>
    <row r="268" spans="1:16" ht="19.5">
      <c r="A268" s="240"/>
      <c r="B268" s="240"/>
      <c r="C268" s="240"/>
      <c r="D268" s="240"/>
      <c r="E268" s="240"/>
      <c r="F268" s="240"/>
      <c r="G268" s="240"/>
      <c r="H268" s="240"/>
      <c r="I268" s="240"/>
      <c r="J268" s="240"/>
      <c r="K268" s="240"/>
      <c r="L268" s="240"/>
      <c r="M268" s="240"/>
      <c r="N268" s="240"/>
      <c r="O268" s="240"/>
      <c r="P268" s="240"/>
    </row>
    <row r="269" spans="1:16" ht="19.5">
      <c r="A269" s="240"/>
      <c r="B269" s="240"/>
      <c r="C269" s="240"/>
      <c r="D269" s="240"/>
      <c r="E269" s="240"/>
      <c r="F269" s="240"/>
      <c r="G269" s="240"/>
      <c r="H269" s="240"/>
      <c r="I269" s="240"/>
      <c r="J269" s="240"/>
      <c r="K269" s="240"/>
      <c r="L269" s="240"/>
      <c r="M269" s="240"/>
      <c r="N269" s="240"/>
      <c r="O269" s="240"/>
      <c r="P269" s="240"/>
    </row>
    <row r="270" spans="1:16" ht="19.5">
      <c r="A270" s="240"/>
      <c r="B270" s="240"/>
      <c r="C270" s="240"/>
      <c r="D270" s="240"/>
      <c r="E270" s="240"/>
      <c r="F270" s="240"/>
      <c r="G270" s="240"/>
      <c r="H270" s="240"/>
      <c r="I270" s="240"/>
      <c r="J270" s="240"/>
      <c r="K270" s="240"/>
      <c r="L270" s="240"/>
      <c r="M270" s="240"/>
      <c r="N270" s="240"/>
      <c r="O270" s="240"/>
      <c r="P270" s="240"/>
    </row>
    <row r="271" spans="1:16" ht="19.5">
      <c r="A271" s="240"/>
      <c r="B271" s="240"/>
      <c r="C271" s="240"/>
      <c r="D271" s="240"/>
      <c r="E271" s="240"/>
      <c r="F271" s="240"/>
      <c r="G271" s="240"/>
      <c r="H271" s="240"/>
      <c r="I271" s="240"/>
      <c r="J271" s="240"/>
      <c r="K271" s="240"/>
      <c r="L271" s="240"/>
      <c r="M271" s="240"/>
      <c r="N271" s="240"/>
      <c r="O271" s="240"/>
      <c r="P271" s="240"/>
    </row>
    <row r="272" spans="1:16" ht="19.5">
      <c r="A272" s="240"/>
      <c r="B272" s="240"/>
      <c r="C272" s="240"/>
      <c r="D272" s="240"/>
      <c r="E272" s="240"/>
      <c r="F272" s="240"/>
      <c r="G272" s="240"/>
      <c r="H272" s="240"/>
      <c r="I272" s="240"/>
      <c r="J272" s="240"/>
      <c r="K272" s="240"/>
      <c r="L272" s="240"/>
      <c r="M272" s="240"/>
      <c r="N272" s="240"/>
      <c r="O272" s="240"/>
      <c r="P272" s="240"/>
    </row>
    <row r="273" spans="1:16" ht="19.5">
      <c r="A273" s="240"/>
      <c r="B273" s="240"/>
      <c r="C273" s="240"/>
      <c r="D273" s="240"/>
      <c r="E273" s="240"/>
      <c r="F273" s="240"/>
      <c r="G273" s="240"/>
      <c r="H273" s="240"/>
      <c r="I273" s="240"/>
      <c r="J273" s="240"/>
      <c r="K273" s="240"/>
      <c r="L273" s="240"/>
      <c r="M273" s="240"/>
      <c r="N273" s="240"/>
      <c r="O273" s="240"/>
      <c r="P273" s="240"/>
    </row>
    <row r="274" spans="1:16" ht="19.5">
      <c r="A274" s="240"/>
      <c r="B274" s="240"/>
      <c r="C274" s="240"/>
      <c r="D274" s="240"/>
      <c r="E274" s="240"/>
      <c r="F274" s="240"/>
      <c r="G274" s="240"/>
      <c r="H274" s="240"/>
      <c r="I274" s="240"/>
      <c r="J274" s="240"/>
      <c r="K274" s="240"/>
      <c r="L274" s="240"/>
      <c r="M274" s="240"/>
      <c r="N274" s="240"/>
      <c r="O274" s="240"/>
      <c r="P274" s="240"/>
    </row>
    <row r="275" spans="1:16" ht="19.5">
      <c r="A275" s="240"/>
      <c r="B275" s="240"/>
      <c r="C275" s="240"/>
      <c r="D275" s="240"/>
      <c r="E275" s="240"/>
      <c r="F275" s="240"/>
      <c r="G275" s="240"/>
      <c r="H275" s="240"/>
      <c r="I275" s="240"/>
      <c r="J275" s="240"/>
      <c r="K275" s="240"/>
      <c r="L275" s="240"/>
      <c r="M275" s="240"/>
      <c r="N275" s="240"/>
      <c r="O275" s="240"/>
      <c r="P275" s="240"/>
    </row>
    <row r="276" spans="1:16" ht="19.5">
      <c r="A276" s="240"/>
      <c r="B276" s="240"/>
      <c r="C276" s="240"/>
      <c r="D276" s="240"/>
      <c r="E276" s="240"/>
      <c r="F276" s="240"/>
      <c r="G276" s="240"/>
      <c r="H276" s="240"/>
      <c r="I276" s="240"/>
      <c r="J276" s="240"/>
      <c r="K276" s="240"/>
      <c r="L276" s="240"/>
      <c r="M276" s="240"/>
      <c r="N276" s="240"/>
      <c r="O276" s="240"/>
      <c r="P276" s="240"/>
    </row>
    <row r="277" spans="1:16" ht="19.5">
      <c r="A277" s="240"/>
      <c r="B277" s="240"/>
      <c r="C277" s="240"/>
      <c r="D277" s="240"/>
      <c r="E277" s="240"/>
      <c r="F277" s="240"/>
      <c r="G277" s="240"/>
      <c r="H277" s="240"/>
      <c r="I277" s="240"/>
      <c r="J277" s="240"/>
      <c r="K277" s="240"/>
      <c r="L277" s="240"/>
      <c r="M277" s="240"/>
      <c r="N277" s="240"/>
      <c r="O277" s="240"/>
      <c r="P277" s="240"/>
    </row>
    <row r="278" spans="1:16" ht="19.5">
      <c r="A278" s="240"/>
      <c r="B278" s="240"/>
      <c r="C278" s="240"/>
      <c r="D278" s="240"/>
      <c r="E278" s="240"/>
      <c r="F278" s="240"/>
      <c r="G278" s="240"/>
      <c r="H278" s="240"/>
      <c r="I278" s="240"/>
      <c r="J278" s="240"/>
      <c r="K278" s="240"/>
      <c r="L278" s="240"/>
      <c r="M278" s="240"/>
      <c r="N278" s="240"/>
      <c r="O278" s="240"/>
      <c r="P278" s="240"/>
    </row>
    <row r="279" spans="1:16" ht="19.5">
      <c r="A279" s="240"/>
      <c r="B279" s="240"/>
      <c r="C279" s="240"/>
      <c r="D279" s="240"/>
      <c r="E279" s="240"/>
      <c r="F279" s="240"/>
      <c r="G279" s="240"/>
      <c r="H279" s="240"/>
      <c r="I279" s="240"/>
      <c r="J279" s="240"/>
      <c r="K279" s="240"/>
      <c r="L279" s="240"/>
      <c r="M279" s="240"/>
      <c r="N279" s="240"/>
      <c r="O279" s="240"/>
      <c r="P279" s="240"/>
    </row>
    <row r="280" spans="1:16" ht="19.5">
      <c r="A280" s="240"/>
      <c r="B280" s="240"/>
      <c r="C280" s="240"/>
      <c r="D280" s="240"/>
      <c r="E280" s="240"/>
      <c r="F280" s="240"/>
      <c r="G280" s="240"/>
      <c r="H280" s="240"/>
      <c r="I280" s="240"/>
      <c r="J280" s="240"/>
      <c r="K280" s="240"/>
      <c r="L280" s="240"/>
      <c r="M280" s="240"/>
      <c r="N280" s="240"/>
      <c r="O280" s="240"/>
      <c r="P280" s="240"/>
    </row>
    <row r="281" spans="1:16" ht="19.5">
      <c r="A281" s="240"/>
      <c r="B281" s="240"/>
      <c r="C281" s="240"/>
      <c r="D281" s="240"/>
      <c r="E281" s="240"/>
      <c r="F281" s="240"/>
      <c r="G281" s="240"/>
      <c r="H281" s="240"/>
      <c r="I281" s="240"/>
      <c r="J281" s="240"/>
      <c r="K281" s="240"/>
      <c r="L281" s="240"/>
      <c r="M281" s="240"/>
      <c r="N281" s="240"/>
      <c r="O281" s="240"/>
      <c r="P281" s="240"/>
    </row>
    <row r="282" spans="1:16" ht="19.5">
      <c r="A282" s="240"/>
      <c r="B282" s="240"/>
      <c r="C282" s="240"/>
      <c r="D282" s="240"/>
      <c r="E282" s="240"/>
      <c r="F282" s="240"/>
      <c r="G282" s="240"/>
      <c r="H282" s="240"/>
      <c r="I282" s="240"/>
      <c r="J282" s="240"/>
      <c r="K282" s="240"/>
      <c r="L282" s="240"/>
      <c r="M282" s="240"/>
      <c r="N282" s="240"/>
      <c r="O282" s="240"/>
      <c r="P282" s="240"/>
    </row>
    <row r="283" spans="1:16" ht="19.5">
      <c r="A283" s="240"/>
      <c r="B283" s="240"/>
      <c r="C283" s="240"/>
      <c r="D283" s="240"/>
      <c r="E283" s="240"/>
      <c r="F283" s="240"/>
      <c r="G283" s="240"/>
      <c r="H283" s="240"/>
      <c r="I283" s="240"/>
      <c r="J283" s="240"/>
      <c r="K283" s="240"/>
      <c r="L283" s="240"/>
      <c r="M283" s="240"/>
      <c r="N283" s="240"/>
      <c r="O283" s="240"/>
      <c r="P283" s="240"/>
    </row>
    <row r="284" spans="1:16" ht="19.5">
      <c r="A284" s="240"/>
      <c r="B284" s="240"/>
      <c r="C284" s="240"/>
      <c r="D284" s="240"/>
      <c r="E284" s="240"/>
      <c r="F284" s="240"/>
      <c r="G284" s="240"/>
      <c r="H284" s="240"/>
      <c r="I284" s="240"/>
      <c r="J284" s="240"/>
      <c r="K284" s="240"/>
      <c r="L284" s="240"/>
      <c r="M284" s="240"/>
      <c r="N284" s="240"/>
      <c r="O284" s="240"/>
      <c r="P284" s="240"/>
    </row>
    <row r="285" spans="1:16" ht="19.5">
      <c r="A285" s="240"/>
      <c r="B285" s="240"/>
      <c r="C285" s="240"/>
      <c r="D285" s="240"/>
      <c r="E285" s="240"/>
      <c r="F285" s="240"/>
      <c r="G285" s="240"/>
      <c r="H285" s="240"/>
      <c r="I285" s="240"/>
      <c r="J285" s="240"/>
      <c r="K285" s="240"/>
      <c r="L285" s="240"/>
      <c r="M285" s="240"/>
      <c r="N285" s="240"/>
      <c r="O285" s="240"/>
      <c r="P285" s="240"/>
    </row>
    <row r="286" spans="1:16" ht="19.5">
      <c r="A286" s="240"/>
      <c r="B286" s="240"/>
      <c r="C286" s="240"/>
      <c r="D286" s="240"/>
      <c r="E286" s="240"/>
      <c r="F286" s="240"/>
      <c r="G286" s="240"/>
      <c r="H286" s="240"/>
      <c r="I286" s="240"/>
      <c r="J286" s="240"/>
      <c r="K286" s="240"/>
      <c r="L286" s="240"/>
      <c r="M286" s="240"/>
      <c r="N286" s="240"/>
      <c r="O286" s="240"/>
      <c r="P286" s="240"/>
    </row>
    <row r="287" spans="1:16" ht="19.5">
      <c r="A287" s="240"/>
      <c r="B287" s="240"/>
      <c r="C287" s="240"/>
      <c r="D287" s="240"/>
      <c r="E287" s="240"/>
      <c r="F287" s="240"/>
      <c r="G287" s="240"/>
      <c r="H287" s="240"/>
      <c r="I287" s="240"/>
      <c r="J287" s="240"/>
      <c r="K287" s="240"/>
      <c r="L287" s="240"/>
      <c r="M287" s="240"/>
      <c r="N287" s="240"/>
      <c r="O287" s="240"/>
      <c r="P287" s="240"/>
    </row>
    <row r="288" spans="1:16" ht="19.5">
      <c r="A288" s="240"/>
      <c r="B288" s="240"/>
      <c r="C288" s="240"/>
      <c r="D288" s="240"/>
      <c r="E288" s="240"/>
      <c r="F288" s="240"/>
      <c r="G288" s="240"/>
      <c r="H288" s="240"/>
      <c r="I288" s="240"/>
      <c r="J288" s="240"/>
      <c r="K288" s="240"/>
      <c r="L288" s="240"/>
      <c r="M288" s="240"/>
      <c r="N288" s="240"/>
      <c r="O288" s="240"/>
      <c r="P288" s="240"/>
    </row>
    <row r="289" spans="1:16" ht="19.5">
      <c r="A289" s="240"/>
      <c r="B289" s="240"/>
      <c r="C289" s="240"/>
      <c r="D289" s="240"/>
      <c r="E289" s="240"/>
      <c r="F289" s="240"/>
      <c r="G289" s="240"/>
      <c r="H289" s="240"/>
      <c r="I289" s="240"/>
      <c r="J289" s="240"/>
      <c r="K289" s="240"/>
      <c r="L289" s="240"/>
      <c r="M289" s="240"/>
      <c r="N289" s="240"/>
      <c r="O289" s="240"/>
      <c r="P289" s="240"/>
    </row>
    <row r="290" spans="1:16" ht="19.5">
      <c r="A290" s="240"/>
      <c r="B290" s="240"/>
      <c r="C290" s="240"/>
      <c r="D290" s="240"/>
      <c r="E290" s="240"/>
      <c r="F290" s="240"/>
      <c r="G290" s="240"/>
      <c r="H290" s="240"/>
      <c r="I290" s="240"/>
      <c r="J290" s="240"/>
      <c r="K290" s="240"/>
      <c r="L290" s="240"/>
      <c r="M290" s="240"/>
      <c r="N290" s="240"/>
      <c r="O290" s="240"/>
      <c r="P290" s="240"/>
    </row>
    <row r="291" spans="1:16" ht="19.5">
      <c r="A291" s="240"/>
      <c r="B291" s="240"/>
      <c r="C291" s="240"/>
      <c r="D291" s="240"/>
      <c r="E291" s="240"/>
      <c r="F291" s="240"/>
      <c r="G291" s="240"/>
      <c r="H291" s="240"/>
      <c r="I291" s="240"/>
      <c r="J291" s="240"/>
      <c r="K291" s="240"/>
      <c r="L291" s="240"/>
      <c r="M291" s="240"/>
      <c r="N291" s="240"/>
      <c r="O291" s="240"/>
      <c r="P291" s="240"/>
    </row>
    <row r="292" spans="1:16" ht="19.5">
      <c r="A292" s="240"/>
      <c r="B292" s="240"/>
      <c r="C292" s="240"/>
      <c r="D292" s="240"/>
      <c r="E292" s="240"/>
      <c r="F292" s="240"/>
      <c r="G292" s="240"/>
      <c r="H292" s="240"/>
      <c r="I292" s="240"/>
      <c r="J292" s="240"/>
      <c r="K292" s="240"/>
      <c r="L292" s="240"/>
      <c r="M292" s="240"/>
      <c r="N292" s="240"/>
      <c r="O292" s="240"/>
      <c r="P292" s="240"/>
    </row>
    <row r="293" spans="1:16" ht="19.5">
      <c r="A293" s="240"/>
      <c r="B293" s="240"/>
      <c r="C293" s="240"/>
      <c r="D293" s="240"/>
      <c r="E293" s="240"/>
      <c r="F293" s="240"/>
      <c r="G293" s="240"/>
      <c r="H293" s="240"/>
      <c r="I293" s="240"/>
      <c r="J293" s="240"/>
      <c r="K293" s="240"/>
      <c r="L293" s="240"/>
      <c r="M293" s="240"/>
      <c r="N293" s="240"/>
      <c r="O293" s="240"/>
      <c r="P293" s="240"/>
    </row>
    <row r="294" spans="1:16" ht="19.5">
      <c r="A294" s="240"/>
      <c r="B294" s="240"/>
      <c r="C294" s="240"/>
      <c r="D294" s="240"/>
      <c r="E294" s="240"/>
      <c r="F294" s="240"/>
      <c r="G294" s="240"/>
      <c r="H294" s="240"/>
      <c r="I294" s="240"/>
      <c r="J294" s="240"/>
      <c r="K294" s="240"/>
      <c r="L294" s="240"/>
      <c r="M294" s="240"/>
      <c r="N294" s="240"/>
      <c r="O294" s="240"/>
      <c r="P294" s="240"/>
    </row>
    <row r="295" spans="1:16" ht="19.5">
      <c r="A295" s="240"/>
      <c r="B295" s="240"/>
      <c r="C295" s="240"/>
      <c r="D295" s="240"/>
      <c r="E295" s="240"/>
      <c r="F295" s="240"/>
      <c r="G295" s="240"/>
      <c r="H295" s="240"/>
      <c r="I295" s="240"/>
      <c r="J295" s="240"/>
      <c r="K295" s="240"/>
      <c r="L295" s="240"/>
      <c r="M295" s="240"/>
      <c r="N295" s="240"/>
      <c r="O295" s="240"/>
      <c r="P295" s="240"/>
    </row>
    <row r="296" spans="1:16" ht="19.5">
      <c r="A296" s="240"/>
      <c r="B296" s="240"/>
      <c r="C296" s="240"/>
      <c r="D296" s="240"/>
      <c r="E296" s="240"/>
      <c r="F296" s="240"/>
      <c r="G296" s="240"/>
      <c r="H296" s="240"/>
      <c r="I296" s="240"/>
      <c r="J296" s="240"/>
      <c r="K296" s="240"/>
      <c r="L296" s="240"/>
      <c r="M296" s="240"/>
      <c r="N296" s="240"/>
      <c r="O296" s="240"/>
      <c r="P296" s="240"/>
    </row>
    <row r="297" spans="1:16" ht="19.5">
      <c r="A297" s="240"/>
      <c r="B297" s="240"/>
      <c r="C297" s="240"/>
      <c r="D297" s="240"/>
      <c r="E297" s="240"/>
      <c r="F297" s="240"/>
      <c r="G297" s="240"/>
      <c r="H297" s="240"/>
      <c r="I297" s="240"/>
      <c r="J297" s="240"/>
      <c r="K297" s="240"/>
      <c r="L297" s="240"/>
      <c r="M297" s="240"/>
      <c r="N297" s="240"/>
      <c r="O297" s="240"/>
      <c r="P297" s="240"/>
    </row>
    <row r="298" spans="1:16" ht="19.5">
      <c r="A298" s="240"/>
      <c r="B298" s="240"/>
      <c r="C298" s="240"/>
      <c r="D298" s="240"/>
      <c r="E298" s="240"/>
      <c r="F298" s="240"/>
      <c r="G298" s="240"/>
      <c r="H298" s="240"/>
      <c r="I298" s="240"/>
      <c r="J298" s="240"/>
      <c r="K298" s="240"/>
      <c r="L298" s="240"/>
      <c r="M298" s="240"/>
      <c r="N298" s="240"/>
      <c r="O298" s="240"/>
      <c r="P298" s="240"/>
    </row>
    <row r="299" spans="1:16" ht="19.5">
      <c r="A299" s="240"/>
      <c r="B299" s="240"/>
      <c r="C299" s="240"/>
      <c r="D299" s="240"/>
      <c r="E299" s="240"/>
      <c r="F299" s="240"/>
      <c r="G299" s="240"/>
      <c r="H299" s="240"/>
      <c r="I299" s="240"/>
      <c r="J299" s="240"/>
      <c r="K299" s="240"/>
      <c r="L299" s="240"/>
      <c r="M299" s="240"/>
      <c r="N299" s="240"/>
      <c r="O299" s="240"/>
      <c r="P299" s="240"/>
    </row>
    <row r="300" spans="1:16" ht="19.5">
      <c r="A300" s="240"/>
      <c r="B300" s="240"/>
      <c r="C300" s="240"/>
      <c r="D300" s="240"/>
      <c r="E300" s="240"/>
      <c r="F300" s="240"/>
      <c r="G300" s="240"/>
      <c r="H300" s="240"/>
      <c r="I300" s="240"/>
      <c r="J300" s="240"/>
      <c r="K300" s="240"/>
      <c r="L300" s="240"/>
      <c r="M300" s="240"/>
      <c r="N300" s="240"/>
      <c r="O300" s="240"/>
      <c r="P300" s="240"/>
    </row>
    <row r="301" spans="1:16" ht="19.5">
      <c r="A301" s="240"/>
      <c r="B301" s="240"/>
      <c r="C301" s="240"/>
      <c r="D301" s="240"/>
      <c r="E301" s="240"/>
      <c r="F301" s="240"/>
      <c r="G301" s="240"/>
      <c r="H301" s="240"/>
      <c r="I301" s="240"/>
      <c r="J301" s="240"/>
      <c r="K301" s="240"/>
      <c r="L301" s="240"/>
      <c r="M301" s="240"/>
      <c r="N301" s="240"/>
      <c r="O301" s="240"/>
      <c r="P301" s="240"/>
    </row>
    <row r="302" spans="1:16" ht="19.5">
      <c r="A302" s="240"/>
      <c r="B302" s="240"/>
      <c r="C302" s="240"/>
      <c r="D302" s="240"/>
      <c r="E302" s="240"/>
      <c r="F302" s="240"/>
      <c r="G302" s="240"/>
      <c r="H302" s="240"/>
      <c r="I302" s="240"/>
      <c r="J302" s="240"/>
      <c r="K302" s="240"/>
      <c r="L302" s="240"/>
      <c r="M302" s="240"/>
      <c r="N302" s="240"/>
      <c r="O302" s="240"/>
      <c r="P302" s="240"/>
    </row>
    <row r="303" spans="1:16" ht="19.5">
      <c r="A303" s="240"/>
      <c r="B303" s="240"/>
      <c r="C303" s="240"/>
      <c r="D303" s="240"/>
      <c r="E303" s="240"/>
      <c r="F303" s="240"/>
      <c r="G303" s="240"/>
      <c r="H303" s="240"/>
      <c r="I303" s="240"/>
      <c r="J303" s="240"/>
      <c r="K303" s="240"/>
      <c r="L303" s="240"/>
      <c r="M303" s="240"/>
      <c r="N303" s="240"/>
      <c r="O303" s="240"/>
      <c r="P303" s="240"/>
    </row>
    <row r="304" spans="1:16" ht="19.5">
      <c r="A304" s="240"/>
      <c r="B304" s="240"/>
      <c r="C304" s="240"/>
      <c r="D304" s="240"/>
      <c r="E304" s="240"/>
      <c r="F304" s="240"/>
      <c r="G304" s="240"/>
      <c r="H304" s="240"/>
      <c r="I304" s="240"/>
      <c r="J304" s="240"/>
      <c r="K304" s="240"/>
      <c r="L304" s="240"/>
      <c r="M304" s="240"/>
      <c r="N304" s="240"/>
      <c r="O304" s="240"/>
      <c r="P304" s="240"/>
    </row>
    <row r="305" spans="1:16" ht="19.5">
      <c r="A305" s="240"/>
      <c r="B305" s="240"/>
      <c r="C305" s="240"/>
      <c r="D305" s="240"/>
      <c r="E305" s="240"/>
      <c r="F305" s="240"/>
      <c r="G305" s="240"/>
      <c r="H305" s="240"/>
      <c r="I305" s="240"/>
      <c r="J305" s="240"/>
      <c r="K305" s="240"/>
      <c r="L305" s="240"/>
      <c r="M305" s="240"/>
      <c r="N305" s="240"/>
      <c r="O305" s="240"/>
      <c r="P305" s="240"/>
    </row>
    <row r="306" spans="1:16" ht="19.5">
      <c r="A306" s="240"/>
      <c r="B306" s="240"/>
      <c r="C306" s="240"/>
      <c r="D306" s="240"/>
      <c r="E306" s="240"/>
      <c r="F306" s="240"/>
      <c r="G306" s="240"/>
      <c r="H306" s="240"/>
      <c r="I306" s="240"/>
      <c r="J306" s="240"/>
      <c r="K306" s="240"/>
      <c r="L306" s="240"/>
      <c r="M306" s="240"/>
      <c r="N306" s="240"/>
      <c r="O306" s="240"/>
      <c r="P306" s="240"/>
    </row>
    <row r="307" spans="1:16" ht="19.5">
      <c r="A307" s="240"/>
      <c r="B307" s="240"/>
      <c r="C307" s="240"/>
      <c r="D307" s="240"/>
      <c r="E307" s="240"/>
      <c r="F307" s="240"/>
      <c r="G307" s="240"/>
      <c r="H307" s="240"/>
      <c r="I307" s="240"/>
      <c r="J307" s="240"/>
      <c r="K307" s="240"/>
      <c r="L307" s="240"/>
      <c r="M307" s="240"/>
      <c r="N307" s="240"/>
      <c r="O307" s="240"/>
      <c r="P307" s="240"/>
    </row>
    <row r="308" spans="1:16" ht="19.5">
      <c r="A308" s="240"/>
      <c r="B308" s="240"/>
      <c r="C308" s="240"/>
      <c r="D308" s="240"/>
      <c r="E308" s="240"/>
      <c r="F308" s="240"/>
      <c r="G308" s="240"/>
      <c r="H308" s="240"/>
      <c r="I308" s="240"/>
      <c r="J308" s="240"/>
      <c r="K308" s="240"/>
      <c r="L308" s="240"/>
      <c r="M308" s="240"/>
      <c r="N308" s="240"/>
      <c r="O308" s="240"/>
      <c r="P308" s="240"/>
    </row>
    <row r="309" spans="1:16" ht="19.5">
      <c r="A309" s="240"/>
      <c r="B309" s="240"/>
      <c r="C309" s="240"/>
      <c r="D309" s="240"/>
      <c r="E309" s="240"/>
      <c r="F309" s="240"/>
      <c r="G309" s="240"/>
      <c r="H309" s="240"/>
      <c r="I309" s="240"/>
      <c r="J309" s="240"/>
      <c r="K309" s="240"/>
      <c r="L309" s="240"/>
      <c r="M309" s="240"/>
      <c r="N309" s="240"/>
      <c r="O309" s="240"/>
      <c r="P309" s="240"/>
    </row>
    <row r="310" spans="1:16" ht="19.5">
      <c r="A310" s="240"/>
      <c r="B310" s="240"/>
      <c r="C310" s="240"/>
      <c r="D310" s="240"/>
      <c r="E310" s="240"/>
      <c r="F310" s="240"/>
      <c r="G310" s="240"/>
      <c r="H310" s="240"/>
      <c r="I310" s="240"/>
      <c r="J310" s="240"/>
      <c r="K310" s="240"/>
      <c r="L310" s="240"/>
      <c r="M310" s="240"/>
      <c r="N310" s="240"/>
      <c r="O310" s="240"/>
      <c r="P310" s="240"/>
    </row>
    <row r="311" spans="1:16" ht="19.5">
      <c r="A311" s="240"/>
      <c r="B311" s="240"/>
      <c r="C311" s="240"/>
      <c r="D311" s="240"/>
      <c r="E311" s="240"/>
      <c r="F311" s="240"/>
      <c r="G311" s="240"/>
      <c r="H311" s="240"/>
      <c r="I311" s="240"/>
      <c r="J311" s="240"/>
      <c r="K311" s="240"/>
      <c r="L311" s="240"/>
      <c r="M311" s="240"/>
      <c r="N311" s="240"/>
      <c r="O311" s="240"/>
      <c r="P311" s="240"/>
    </row>
    <row r="312" spans="1:16" ht="19.5">
      <c r="A312" s="240"/>
      <c r="B312" s="240"/>
      <c r="C312" s="240"/>
      <c r="D312" s="240"/>
      <c r="E312" s="240"/>
      <c r="F312" s="240"/>
      <c r="G312" s="240"/>
      <c r="H312" s="240"/>
      <c r="I312" s="240"/>
      <c r="J312" s="240"/>
      <c r="K312" s="240"/>
      <c r="L312" s="240"/>
      <c r="M312" s="240"/>
      <c r="N312" s="240"/>
      <c r="O312" s="240"/>
      <c r="P312" s="240"/>
    </row>
    <row r="313" spans="1:16" ht="19.5">
      <c r="A313" s="240"/>
      <c r="B313" s="240"/>
      <c r="C313" s="240"/>
      <c r="D313" s="240"/>
      <c r="E313" s="240"/>
      <c r="F313" s="240"/>
      <c r="G313" s="240"/>
      <c r="H313" s="240"/>
      <c r="I313" s="240"/>
      <c r="J313" s="240"/>
      <c r="K313" s="240"/>
      <c r="L313" s="240"/>
      <c r="M313" s="240"/>
      <c r="N313" s="240"/>
      <c r="O313" s="240"/>
      <c r="P313" s="240"/>
    </row>
    <row r="314" spans="1:16" ht="19.5">
      <c r="A314" s="240"/>
      <c r="B314" s="240"/>
      <c r="C314" s="240"/>
      <c r="D314" s="240"/>
      <c r="E314" s="240"/>
      <c r="F314" s="240"/>
      <c r="G314" s="240"/>
      <c r="H314" s="240"/>
      <c r="I314" s="240"/>
      <c r="J314" s="240"/>
      <c r="K314" s="240"/>
      <c r="L314" s="240"/>
      <c r="M314" s="240"/>
      <c r="N314" s="240"/>
      <c r="O314" s="240"/>
      <c r="P314" s="240"/>
    </row>
    <row r="315" spans="1:16" ht="19.5">
      <c r="A315" s="240"/>
      <c r="B315" s="240"/>
      <c r="C315" s="240"/>
      <c r="D315" s="240"/>
      <c r="E315" s="240"/>
      <c r="F315" s="240"/>
      <c r="G315" s="240"/>
      <c r="H315" s="240"/>
      <c r="I315" s="240"/>
      <c r="J315" s="240"/>
      <c r="K315" s="240"/>
      <c r="L315" s="240"/>
      <c r="M315" s="240"/>
      <c r="N315" s="240"/>
      <c r="O315" s="240"/>
      <c r="P315" s="240"/>
    </row>
    <row r="316" spans="1:16" ht="19.5">
      <c r="A316" s="240"/>
      <c r="B316" s="240"/>
      <c r="C316" s="240"/>
      <c r="D316" s="240"/>
      <c r="E316" s="240"/>
      <c r="F316" s="240"/>
      <c r="G316" s="240"/>
      <c r="H316" s="240"/>
      <c r="I316" s="240"/>
      <c r="J316" s="240"/>
      <c r="K316" s="240"/>
      <c r="L316" s="240"/>
      <c r="M316" s="240"/>
      <c r="N316" s="240"/>
      <c r="O316" s="240"/>
      <c r="P316" s="240"/>
    </row>
    <row r="317" spans="1:16" ht="19.5">
      <c r="A317" s="240"/>
      <c r="B317" s="240"/>
      <c r="C317" s="240"/>
      <c r="D317" s="240"/>
      <c r="E317" s="240"/>
      <c r="F317" s="240"/>
      <c r="G317" s="240"/>
      <c r="H317" s="240"/>
      <c r="I317" s="240"/>
      <c r="J317" s="240"/>
      <c r="K317" s="240"/>
      <c r="L317" s="240"/>
      <c r="M317" s="240"/>
      <c r="N317" s="240"/>
      <c r="O317" s="240"/>
      <c r="P317" s="240"/>
    </row>
    <row r="318" spans="1:16" ht="19.5">
      <c r="A318" s="240"/>
      <c r="B318" s="240"/>
      <c r="C318" s="240"/>
      <c r="D318" s="240"/>
      <c r="E318" s="240"/>
      <c r="F318" s="240"/>
      <c r="G318" s="240"/>
      <c r="H318" s="240"/>
      <c r="I318" s="240"/>
      <c r="J318" s="240"/>
      <c r="K318" s="240"/>
      <c r="L318" s="240"/>
      <c r="M318" s="240"/>
      <c r="N318" s="240"/>
      <c r="O318" s="240"/>
      <c r="P318" s="240"/>
    </row>
    <row r="319" spans="1:16" ht="19.5">
      <c r="A319" s="240"/>
      <c r="B319" s="240"/>
      <c r="C319" s="240"/>
      <c r="D319" s="240"/>
      <c r="E319" s="240"/>
      <c r="F319" s="240"/>
      <c r="G319" s="240"/>
      <c r="H319" s="240"/>
      <c r="I319" s="240"/>
      <c r="J319" s="240"/>
      <c r="K319" s="240"/>
      <c r="L319" s="240"/>
      <c r="M319" s="240"/>
      <c r="N319" s="240"/>
      <c r="O319" s="240"/>
      <c r="P319" s="240"/>
    </row>
    <row r="320" spans="1:16" ht="19.5">
      <c r="A320" s="240"/>
      <c r="B320" s="240"/>
      <c r="C320" s="240"/>
      <c r="D320" s="240"/>
      <c r="E320" s="240"/>
      <c r="F320" s="240"/>
      <c r="G320" s="240"/>
      <c r="H320" s="240"/>
      <c r="I320" s="240"/>
      <c r="J320" s="240"/>
      <c r="K320" s="240"/>
      <c r="L320" s="240"/>
      <c r="M320" s="240"/>
      <c r="N320" s="240"/>
      <c r="O320" s="240"/>
      <c r="P320" s="240"/>
    </row>
    <row r="321" spans="1:16" ht="19.5">
      <c r="A321" s="240"/>
      <c r="B321" s="240"/>
      <c r="C321" s="240"/>
      <c r="D321" s="240"/>
      <c r="E321" s="240"/>
      <c r="F321" s="240"/>
      <c r="G321" s="240"/>
      <c r="H321" s="240"/>
      <c r="I321" s="240"/>
      <c r="J321" s="240"/>
      <c r="K321" s="240"/>
      <c r="L321" s="240"/>
      <c r="M321" s="240"/>
      <c r="N321" s="240"/>
      <c r="O321" s="240"/>
      <c r="P321" s="240"/>
    </row>
    <row r="322" spans="1:16" ht="19.5">
      <c r="A322" s="240"/>
      <c r="B322" s="240"/>
      <c r="C322" s="240"/>
      <c r="D322" s="240"/>
      <c r="E322" s="240"/>
      <c r="F322" s="240"/>
      <c r="G322" s="240"/>
      <c r="H322" s="240"/>
      <c r="I322" s="240"/>
      <c r="J322" s="240"/>
      <c r="K322" s="240"/>
      <c r="L322" s="240"/>
      <c r="M322" s="240"/>
      <c r="N322" s="240"/>
      <c r="O322" s="240"/>
      <c r="P322" s="240"/>
    </row>
    <row r="323" spans="1:16" ht="19.5">
      <c r="A323" s="240"/>
      <c r="B323" s="240"/>
      <c r="C323" s="240"/>
      <c r="D323" s="240"/>
      <c r="E323" s="240"/>
      <c r="F323" s="240"/>
      <c r="G323" s="240"/>
      <c r="H323" s="240"/>
      <c r="I323" s="240"/>
      <c r="J323" s="240"/>
      <c r="K323" s="240"/>
      <c r="L323" s="240"/>
      <c r="M323" s="240"/>
      <c r="N323" s="240"/>
      <c r="O323" s="240"/>
      <c r="P323" s="240"/>
    </row>
    <row r="324" spans="1:16" ht="19.5">
      <c r="A324" s="240"/>
      <c r="B324" s="240"/>
      <c r="C324" s="240"/>
      <c r="D324" s="240"/>
      <c r="E324" s="240"/>
      <c r="F324" s="240"/>
      <c r="G324" s="240"/>
      <c r="H324" s="240"/>
      <c r="I324" s="240"/>
      <c r="J324" s="240"/>
      <c r="K324" s="240"/>
      <c r="L324" s="240"/>
      <c r="M324" s="240"/>
      <c r="N324" s="240"/>
      <c r="O324" s="240"/>
      <c r="P324" s="240"/>
    </row>
  </sheetData>
  <sheetProtection/>
  <mergeCells count="8">
    <mergeCell ref="A2:I2"/>
    <mergeCell ref="A4:A5"/>
    <mergeCell ref="E4:G4"/>
    <mergeCell ref="H4:I4"/>
    <mergeCell ref="E23:I34"/>
    <mergeCell ref="B4:B5"/>
    <mergeCell ref="C4:C5"/>
    <mergeCell ref="D4:D5"/>
  </mergeCells>
  <printOptions horizontalCentered="1"/>
  <pageMargins left="0.47" right="0.5" top="0.61" bottom="0.56" header="0.3" footer="0.3"/>
  <pageSetup horizontalDpi="300" verticalDpi="300" orientation="landscape" paperSize="9" r:id="rId1"/>
  <headerFooter>
    <oddFooter>&amp;R&amp;P</oddFooter>
  </headerFooter>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10" customWidth="1"/>
    <col min="2" max="2" width="24.625" style="11" customWidth="1"/>
    <col min="3" max="5" width="7.625" style="12" customWidth="1"/>
    <col min="6" max="6" width="11.75390625" style="12" customWidth="1"/>
    <col min="7" max="10" width="7.625" style="13" customWidth="1"/>
    <col min="11" max="11" width="7.875" style="13" hidden="1" customWidth="1"/>
    <col min="12" max="13" width="8.125" style="13" hidden="1" customWidth="1"/>
    <col min="14" max="14" width="8.25390625" style="13" hidden="1" customWidth="1"/>
    <col min="15" max="15" width="7.625" style="13" hidden="1" customWidth="1"/>
    <col min="16" max="16" width="8.25390625" style="13" hidden="1" customWidth="1"/>
    <col min="17" max="17" width="8.75390625" style="13" hidden="1" customWidth="1"/>
    <col min="18" max="18" width="8.125" style="13" hidden="1" customWidth="1"/>
    <col min="19" max="22" width="7.625" style="13" customWidth="1"/>
    <col min="23" max="23" width="8.00390625" style="13" customWidth="1"/>
    <col min="24" max="24" width="9.00390625" style="13" customWidth="1"/>
    <col min="25" max="25" width="9.25390625" style="13" customWidth="1"/>
    <col min="26" max="26" width="8.625" style="13" customWidth="1"/>
    <col min="27" max="27" width="7.625" style="13" customWidth="1"/>
    <col min="28" max="28" width="8.25390625" style="13" customWidth="1"/>
    <col min="29" max="29" width="8.75390625" style="13" customWidth="1"/>
    <col min="30" max="30" width="8.125" style="13" customWidth="1"/>
    <col min="31" max="31" width="8.00390625" style="13" customWidth="1"/>
    <col min="32" max="32" width="9.00390625" style="13" customWidth="1"/>
    <col min="33" max="33" width="9.25390625" style="13" customWidth="1"/>
    <col min="34" max="34" width="8.625" style="13" customWidth="1"/>
    <col min="35" max="35" width="7.625" style="13" customWidth="1"/>
    <col min="36" max="36" width="8.25390625" style="13" customWidth="1"/>
    <col min="37" max="37" width="8.75390625" style="13" customWidth="1"/>
    <col min="38" max="38" width="8.125" style="13" customWidth="1"/>
    <col min="39" max="42" width="7.625" style="13" customWidth="1"/>
    <col min="43" max="43" width="7.00390625" style="13" customWidth="1"/>
    <col min="44" max="16384" width="9.00390625" style="9" customWidth="1"/>
  </cols>
  <sheetData>
    <row r="1" spans="1:43" s="45" customFormat="1" ht="32.25" customHeight="1">
      <c r="A1" s="94" t="s">
        <v>1196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2"/>
      <c r="AF1" s="46"/>
      <c r="AG1" s="46"/>
      <c r="AH1" s="46"/>
      <c r="AI1" s="46"/>
      <c r="AJ1" s="46"/>
      <c r="AK1" s="46"/>
      <c r="AL1" s="46"/>
      <c r="AM1" s="46"/>
      <c r="AN1" s="46"/>
      <c r="AO1" s="46"/>
      <c r="AP1" s="46"/>
      <c r="AQ1" s="92" t="s">
        <v>1180</v>
      </c>
    </row>
    <row r="2" spans="1:43" ht="42" customHeight="1">
      <c r="A2" s="890" t="s">
        <v>1141</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row>
    <row r="3" spans="1:43" s="14" customFormat="1" ht="35.25" customHeight="1">
      <c r="A3" s="891" t="s">
        <v>1090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891"/>
      <c r="AJ3" s="891"/>
      <c r="AK3" s="891"/>
      <c r="AL3" s="891"/>
      <c r="AM3" s="891"/>
      <c r="AN3" s="891"/>
      <c r="AO3" s="891"/>
      <c r="AP3" s="891"/>
      <c r="AQ3" s="891"/>
    </row>
    <row r="4" spans="1:43" s="16" customFormat="1" ht="43.5" customHeight="1">
      <c r="A4" s="892" t="s">
        <v>1035</v>
      </c>
      <c r="B4" s="892" t="s">
        <v>1142</v>
      </c>
      <c r="C4" s="892" t="s">
        <v>1143</v>
      </c>
      <c r="D4" s="892" t="s">
        <v>1144</v>
      </c>
      <c r="E4" s="892" t="s">
        <v>1145</v>
      </c>
      <c r="F4" s="889" t="s">
        <v>1146</v>
      </c>
      <c r="G4" s="889"/>
      <c r="H4" s="889"/>
      <c r="I4" s="889"/>
      <c r="J4" s="889"/>
      <c r="K4" s="877" t="s">
        <v>1147</v>
      </c>
      <c r="L4" s="877"/>
      <c r="M4" s="877"/>
      <c r="N4" s="877"/>
      <c r="O4" s="877" t="s">
        <v>1148</v>
      </c>
      <c r="P4" s="877"/>
      <c r="Q4" s="877"/>
      <c r="R4" s="877"/>
      <c r="S4" s="883" t="s">
        <v>1138</v>
      </c>
      <c r="T4" s="884"/>
      <c r="U4" s="884"/>
      <c r="V4" s="885"/>
      <c r="W4" s="880" t="s">
        <v>1199</v>
      </c>
      <c r="X4" s="881"/>
      <c r="Y4" s="881"/>
      <c r="Z4" s="882"/>
      <c r="AA4" s="880" t="s">
        <v>1200</v>
      </c>
      <c r="AB4" s="881"/>
      <c r="AC4" s="881"/>
      <c r="AD4" s="882"/>
      <c r="AE4" s="880" t="s">
        <v>1201</v>
      </c>
      <c r="AF4" s="881"/>
      <c r="AG4" s="881"/>
      <c r="AH4" s="882"/>
      <c r="AI4" s="880" t="s">
        <v>1202</v>
      </c>
      <c r="AJ4" s="881"/>
      <c r="AK4" s="881"/>
      <c r="AL4" s="882"/>
      <c r="AM4" s="883" t="s">
        <v>1203</v>
      </c>
      <c r="AN4" s="884"/>
      <c r="AO4" s="884"/>
      <c r="AP4" s="885"/>
      <c r="AQ4" s="886" t="s">
        <v>1102</v>
      </c>
    </row>
    <row r="5" spans="1:43" s="16" customFormat="1" ht="43.5" customHeight="1">
      <c r="A5" s="893"/>
      <c r="B5" s="893"/>
      <c r="C5" s="893"/>
      <c r="D5" s="893"/>
      <c r="E5" s="893"/>
      <c r="F5" s="889" t="s">
        <v>1149</v>
      </c>
      <c r="G5" s="889" t="s">
        <v>1150</v>
      </c>
      <c r="H5" s="889"/>
      <c r="I5" s="889"/>
      <c r="J5" s="889"/>
      <c r="K5" s="877" t="s">
        <v>1085</v>
      </c>
      <c r="L5" s="877" t="s">
        <v>1151</v>
      </c>
      <c r="M5" s="877"/>
      <c r="N5" s="877"/>
      <c r="O5" s="877" t="s">
        <v>1085</v>
      </c>
      <c r="P5" s="877" t="s">
        <v>1151</v>
      </c>
      <c r="Q5" s="877"/>
      <c r="R5" s="877"/>
      <c r="S5" s="877" t="s">
        <v>1085</v>
      </c>
      <c r="T5" s="877" t="s">
        <v>1152</v>
      </c>
      <c r="U5" s="877"/>
      <c r="V5" s="877"/>
      <c r="W5" s="877" t="s">
        <v>1085</v>
      </c>
      <c r="X5" s="877" t="s">
        <v>1151</v>
      </c>
      <c r="Y5" s="877"/>
      <c r="Z5" s="877"/>
      <c r="AA5" s="877" t="s">
        <v>1085</v>
      </c>
      <c r="AB5" s="877" t="s">
        <v>1151</v>
      </c>
      <c r="AC5" s="877"/>
      <c r="AD5" s="877"/>
      <c r="AE5" s="877" t="s">
        <v>1085</v>
      </c>
      <c r="AF5" s="877" t="s">
        <v>1151</v>
      </c>
      <c r="AG5" s="877"/>
      <c r="AH5" s="877"/>
      <c r="AI5" s="877" t="s">
        <v>1085</v>
      </c>
      <c r="AJ5" s="877" t="s">
        <v>1151</v>
      </c>
      <c r="AK5" s="877"/>
      <c r="AL5" s="877"/>
      <c r="AM5" s="877" t="s">
        <v>1085</v>
      </c>
      <c r="AN5" s="877" t="s">
        <v>1152</v>
      </c>
      <c r="AO5" s="877"/>
      <c r="AP5" s="877"/>
      <c r="AQ5" s="887"/>
    </row>
    <row r="6" spans="1:43" s="16" customFormat="1" ht="43.5" customHeight="1">
      <c r="A6" s="887"/>
      <c r="B6" s="887"/>
      <c r="C6" s="887"/>
      <c r="D6" s="887"/>
      <c r="E6" s="887"/>
      <c r="F6" s="877"/>
      <c r="G6" s="877" t="s">
        <v>1085</v>
      </c>
      <c r="H6" s="877" t="s">
        <v>1153</v>
      </c>
      <c r="I6" s="879"/>
      <c r="J6" s="879"/>
      <c r="K6" s="877"/>
      <c r="L6" s="877" t="s">
        <v>1085</v>
      </c>
      <c r="M6" s="877" t="s">
        <v>1154</v>
      </c>
      <c r="N6" s="877" t="s">
        <v>1157</v>
      </c>
      <c r="O6" s="877"/>
      <c r="P6" s="877" t="s">
        <v>1085</v>
      </c>
      <c r="Q6" s="877" t="s">
        <v>1154</v>
      </c>
      <c r="R6" s="877" t="s">
        <v>1157</v>
      </c>
      <c r="S6" s="877"/>
      <c r="T6" s="877" t="s">
        <v>1085</v>
      </c>
      <c r="U6" s="877" t="s">
        <v>1154</v>
      </c>
      <c r="V6" s="877" t="s">
        <v>1157</v>
      </c>
      <c r="W6" s="877"/>
      <c r="X6" s="877" t="s">
        <v>1085</v>
      </c>
      <c r="Y6" s="877" t="s">
        <v>1154</v>
      </c>
      <c r="Z6" s="877" t="s">
        <v>1157</v>
      </c>
      <c r="AA6" s="877"/>
      <c r="AB6" s="877" t="s">
        <v>1085</v>
      </c>
      <c r="AC6" s="877" t="s">
        <v>1154</v>
      </c>
      <c r="AD6" s="877" t="s">
        <v>1157</v>
      </c>
      <c r="AE6" s="877"/>
      <c r="AF6" s="877" t="s">
        <v>1085</v>
      </c>
      <c r="AG6" s="877" t="s">
        <v>1154</v>
      </c>
      <c r="AH6" s="877" t="s">
        <v>1157</v>
      </c>
      <c r="AI6" s="877"/>
      <c r="AJ6" s="877" t="s">
        <v>1085</v>
      </c>
      <c r="AK6" s="877" t="s">
        <v>1154</v>
      </c>
      <c r="AL6" s="877" t="s">
        <v>1157</v>
      </c>
      <c r="AM6" s="877"/>
      <c r="AN6" s="877" t="s">
        <v>1085</v>
      </c>
      <c r="AO6" s="877" t="s">
        <v>1154</v>
      </c>
      <c r="AP6" s="877" t="s">
        <v>1157</v>
      </c>
      <c r="AQ6" s="887"/>
    </row>
    <row r="7" spans="1:43" s="16" customFormat="1" ht="60" customHeight="1">
      <c r="A7" s="888"/>
      <c r="B7" s="888"/>
      <c r="C7" s="888"/>
      <c r="D7" s="888"/>
      <c r="E7" s="888"/>
      <c r="F7" s="877"/>
      <c r="G7" s="879"/>
      <c r="H7" s="15" t="s">
        <v>1085</v>
      </c>
      <c r="I7" s="15" t="s">
        <v>1154</v>
      </c>
      <c r="J7" s="17" t="s">
        <v>1157</v>
      </c>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77"/>
      <c r="AO7" s="877"/>
      <c r="AP7" s="877"/>
      <c r="AQ7" s="888"/>
    </row>
    <row r="8" spans="1:43" s="19" customFormat="1" ht="30.75" customHeight="1">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11</v>
      </c>
      <c r="T8" s="15">
        <v>12</v>
      </c>
      <c r="U8" s="18">
        <v>13</v>
      </c>
      <c r="V8" s="18">
        <v>14</v>
      </c>
      <c r="W8" s="18">
        <v>15</v>
      </c>
      <c r="X8" s="18">
        <v>16</v>
      </c>
      <c r="Y8" s="18">
        <v>17</v>
      </c>
      <c r="Z8" s="18">
        <v>18</v>
      </c>
      <c r="AA8" s="18">
        <v>19</v>
      </c>
      <c r="AB8" s="18">
        <v>20</v>
      </c>
      <c r="AC8" s="18">
        <v>21</v>
      </c>
      <c r="AD8" s="18">
        <v>22</v>
      </c>
      <c r="AE8" s="18">
        <v>23</v>
      </c>
      <c r="AF8" s="18">
        <v>24</v>
      </c>
      <c r="AG8" s="18">
        <v>25</v>
      </c>
      <c r="AH8" s="18">
        <v>26</v>
      </c>
      <c r="AI8" s="18">
        <v>27</v>
      </c>
      <c r="AJ8" s="18">
        <v>28</v>
      </c>
      <c r="AK8" s="18">
        <v>29</v>
      </c>
      <c r="AL8" s="18">
        <v>30</v>
      </c>
      <c r="AM8" s="18">
        <v>31</v>
      </c>
      <c r="AN8" s="15">
        <v>32</v>
      </c>
      <c r="AO8" s="18">
        <v>33</v>
      </c>
      <c r="AP8" s="18">
        <v>34</v>
      </c>
      <c r="AQ8" s="18">
        <v>35</v>
      </c>
    </row>
    <row r="9" spans="1:43" ht="51.75" customHeight="1">
      <c r="A9" s="20"/>
      <c r="B9" s="21" t="s">
        <v>1078</v>
      </c>
      <c r="C9" s="22"/>
      <c r="D9" s="22"/>
      <c r="E9" s="22"/>
      <c r="F9" s="22"/>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row>
    <row r="10" spans="1:43" s="27" customFormat="1" ht="48" customHeight="1">
      <c r="A10" s="24" t="s">
        <v>1077</v>
      </c>
      <c r="B10" s="47" t="s">
        <v>1158</v>
      </c>
      <c r="C10" s="25"/>
      <c r="D10" s="25"/>
      <c r="E10" s="25"/>
      <c r="F10" s="25"/>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row>
    <row r="11" spans="1:43" ht="30" customHeight="1">
      <c r="A11" s="32">
        <v>1</v>
      </c>
      <c r="B11" s="48" t="s">
        <v>1159</v>
      </c>
      <c r="C11" s="33"/>
      <c r="D11" s="33"/>
      <c r="E11" s="33"/>
      <c r="F11" s="33"/>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row>
    <row r="12" spans="1:43" ht="30" customHeight="1">
      <c r="A12" s="32">
        <v>2</v>
      </c>
      <c r="B12" s="48" t="s">
        <v>1159</v>
      </c>
      <c r="C12" s="33"/>
      <c r="D12" s="33"/>
      <c r="E12" s="33"/>
      <c r="F12" s="33"/>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30" customHeight="1">
      <c r="A13" s="32"/>
      <c r="B13" s="49" t="s">
        <v>1160</v>
      </c>
      <c r="C13" s="33"/>
      <c r="D13" s="33"/>
      <c r="E13" s="33"/>
      <c r="F13" s="33"/>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row>
    <row r="14" spans="1:43" s="27" customFormat="1" ht="42" customHeight="1">
      <c r="A14" s="24" t="s">
        <v>1080</v>
      </c>
      <c r="B14" s="47" t="s">
        <v>1158</v>
      </c>
      <c r="C14" s="25"/>
      <c r="D14" s="25"/>
      <c r="E14" s="25"/>
      <c r="F14" s="25"/>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row>
    <row r="15" spans="1:43" s="27" customFormat="1" ht="30" customHeight="1">
      <c r="A15" s="32">
        <v>1</v>
      </c>
      <c r="B15" s="48" t="s">
        <v>1159</v>
      </c>
      <c r="C15" s="25"/>
      <c r="D15" s="25"/>
      <c r="E15" s="25"/>
      <c r="F15" s="25"/>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row>
    <row r="16" spans="1:43" s="27" customFormat="1" ht="31.5" customHeight="1">
      <c r="A16" s="32">
        <v>2</v>
      </c>
      <c r="B16" s="48" t="s">
        <v>1161</v>
      </c>
      <c r="C16" s="25"/>
      <c r="D16" s="25"/>
      <c r="E16" s="25"/>
      <c r="F16" s="25"/>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43" s="27" customFormat="1" ht="27" customHeight="1" hidden="1">
      <c r="A17" s="32"/>
      <c r="B17" s="49" t="s">
        <v>1160</v>
      </c>
      <c r="C17" s="25"/>
      <c r="D17" s="25"/>
      <c r="E17" s="25"/>
      <c r="F17" s="25"/>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row>
    <row r="18" spans="1:43" s="31" customFormat="1" ht="19.5" hidden="1">
      <c r="A18" s="28" t="s">
        <v>1080</v>
      </c>
      <c r="B18" s="50" t="s">
        <v>1162</v>
      </c>
      <c r="C18" s="29"/>
      <c r="D18" s="29"/>
      <c r="E18" s="29"/>
      <c r="F18" s="29"/>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42" customHeight="1" hidden="1">
      <c r="A19" s="28"/>
      <c r="B19" s="50" t="s">
        <v>1158</v>
      </c>
      <c r="C19" s="29"/>
      <c r="D19" s="29"/>
      <c r="E19" s="29"/>
      <c r="F19" s="29"/>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42" customHeight="1" hidden="1">
      <c r="A20" s="28"/>
      <c r="B20" s="50" t="s">
        <v>1163</v>
      </c>
      <c r="C20" s="29"/>
      <c r="D20" s="29"/>
      <c r="E20" s="29"/>
      <c r="F20" s="29"/>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27" customFormat="1" ht="39.75" customHeight="1" hidden="1">
      <c r="A21" s="32">
        <v>1</v>
      </c>
      <c r="B21" s="48" t="s">
        <v>1159</v>
      </c>
      <c r="C21" s="25"/>
      <c r="D21" s="25"/>
      <c r="E21" s="25"/>
      <c r="F21" s="25"/>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row>
    <row r="22" spans="1:43" s="27" customFormat="1" ht="36.75" customHeight="1" hidden="1">
      <c r="A22" s="32">
        <v>2</v>
      </c>
      <c r="B22" s="48" t="s">
        <v>1161</v>
      </c>
      <c r="C22" s="25"/>
      <c r="D22" s="25"/>
      <c r="E22" s="25"/>
      <c r="F22" s="25"/>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row>
    <row r="23" spans="1:43" s="31" customFormat="1" ht="24.75" customHeight="1" hidden="1">
      <c r="A23" s="28"/>
      <c r="B23" s="50" t="s">
        <v>1164</v>
      </c>
      <c r="C23" s="29"/>
      <c r="D23" s="29"/>
      <c r="E23" s="29"/>
      <c r="F23" s="29"/>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ht="24.75" customHeight="1" hidden="1">
      <c r="A24" s="32">
        <v>1</v>
      </c>
      <c r="B24" s="48" t="s">
        <v>1159</v>
      </c>
      <c r="C24" s="33"/>
      <c r="D24" s="33"/>
      <c r="E24" s="33"/>
      <c r="F24" s="33"/>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row>
    <row r="25" spans="1:43" ht="24.75" customHeight="1" hidden="1">
      <c r="A25" s="32">
        <v>2</v>
      </c>
      <c r="B25" s="48" t="s">
        <v>1165</v>
      </c>
      <c r="C25" s="33"/>
      <c r="D25" s="33"/>
      <c r="E25" s="33"/>
      <c r="F25" s="33"/>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row>
    <row r="26" spans="1:43" ht="30" customHeight="1">
      <c r="A26" s="32"/>
      <c r="B26" s="49" t="s">
        <v>1160</v>
      </c>
      <c r="C26" s="33"/>
      <c r="D26" s="33"/>
      <c r="E26" s="33"/>
      <c r="F26" s="33"/>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row>
    <row r="27" spans="1:43" ht="0.75" customHeight="1">
      <c r="A27" s="35"/>
      <c r="B27" s="36"/>
      <c r="C27" s="37"/>
      <c r="D27" s="37"/>
      <c r="E27" s="37"/>
      <c r="F27" s="37"/>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row>
    <row r="28" spans="1:43" ht="0.75" customHeight="1">
      <c r="A28" s="39"/>
      <c r="B28" s="40"/>
      <c r="C28" s="41"/>
      <c r="D28" s="41"/>
      <c r="E28" s="41"/>
      <c r="F28" s="41"/>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row>
    <row r="29" spans="1:43" ht="0.75" customHeight="1">
      <c r="A29" s="39"/>
      <c r="B29" s="40"/>
      <c r="C29" s="41"/>
      <c r="D29" s="41"/>
      <c r="E29" s="41"/>
      <c r="F29" s="41"/>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row>
    <row r="30" spans="1:43" ht="0.75" customHeight="1">
      <c r="A30" s="39"/>
      <c r="B30" s="40"/>
      <c r="C30" s="41"/>
      <c r="D30" s="41"/>
      <c r="E30" s="41"/>
      <c r="F30" s="41"/>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row>
    <row r="31" spans="1:43" ht="0.75" customHeight="1">
      <c r="A31" s="39"/>
      <c r="B31" s="40"/>
      <c r="C31" s="41"/>
      <c r="D31" s="41"/>
      <c r="E31" s="41"/>
      <c r="F31" s="41"/>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row>
    <row r="32" spans="1:43" ht="0.75" customHeight="1">
      <c r="A32" s="39"/>
      <c r="B32" s="40"/>
      <c r="C32" s="41"/>
      <c r="D32" s="41"/>
      <c r="E32" s="41"/>
      <c r="F32" s="41"/>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row>
    <row r="33" spans="1:43" ht="0.75" customHeight="1">
      <c r="A33" s="39"/>
      <c r="B33" s="40"/>
      <c r="C33" s="41"/>
      <c r="D33" s="41"/>
      <c r="E33" s="41"/>
      <c r="F33" s="41"/>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row>
    <row r="34" spans="1:43" ht="0.75" customHeight="1">
      <c r="A34" s="39"/>
      <c r="B34" s="40"/>
      <c r="C34" s="41"/>
      <c r="D34" s="41"/>
      <c r="E34" s="41"/>
      <c r="F34" s="41"/>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row>
    <row r="35" spans="1:43" ht="0.75" customHeight="1">
      <c r="A35" s="39"/>
      <c r="B35" s="40"/>
      <c r="C35" s="41"/>
      <c r="D35" s="41"/>
      <c r="E35" s="41"/>
      <c r="F35" s="41"/>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row>
    <row r="36" spans="1:43" ht="0.75" customHeight="1">
      <c r="A36" s="39"/>
      <c r="B36" s="40"/>
      <c r="C36" s="41"/>
      <c r="D36" s="41"/>
      <c r="E36" s="41"/>
      <c r="F36" s="41"/>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row>
    <row r="37" spans="1:43" ht="0.75" customHeight="1">
      <c r="A37" s="39"/>
      <c r="B37" s="40"/>
      <c r="C37" s="41"/>
      <c r="D37" s="41"/>
      <c r="E37" s="41"/>
      <c r="F37" s="41"/>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row>
    <row r="38" spans="1:43" ht="0.75" customHeight="1">
      <c r="A38" s="39"/>
      <c r="B38" s="40"/>
      <c r="C38" s="41"/>
      <c r="D38" s="41"/>
      <c r="E38" s="41"/>
      <c r="F38" s="4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row>
    <row r="39" spans="1:43" ht="0.75" customHeight="1">
      <c r="A39" s="39"/>
      <c r="B39" s="40"/>
      <c r="C39" s="41"/>
      <c r="D39" s="41"/>
      <c r="E39" s="41"/>
      <c r="F39" s="41"/>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row>
    <row r="40" spans="1:42" s="44" customFormat="1" ht="30.75" customHeight="1">
      <c r="A40" s="51"/>
      <c r="B40" s="878" t="s">
        <v>1140</v>
      </c>
      <c r="C40" s="878"/>
      <c r="D40" s="878"/>
      <c r="E40" s="878"/>
      <c r="F40" s="878"/>
      <c r="G40" s="878"/>
      <c r="H40" s="878"/>
      <c r="I40" s="878"/>
      <c r="J40" s="878"/>
      <c r="K40" s="878"/>
      <c r="L40" s="878"/>
      <c r="M40" s="878"/>
      <c r="N40" s="878"/>
      <c r="O40" s="878"/>
      <c r="P40" s="878"/>
      <c r="Q40" s="878"/>
      <c r="R40" s="878"/>
      <c r="S40" s="878"/>
      <c r="T40" s="878"/>
      <c r="U40" s="878"/>
      <c r="V40" s="878"/>
      <c r="W40" s="43"/>
      <c r="X40" s="43"/>
      <c r="Y40" s="43"/>
      <c r="Z40" s="43"/>
      <c r="AA40" s="43"/>
      <c r="AB40" s="43"/>
      <c r="AC40" s="43"/>
      <c r="AD40" s="43"/>
      <c r="AE40" s="43"/>
      <c r="AF40" s="43"/>
      <c r="AG40" s="43"/>
      <c r="AH40" s="43"/>
      <c r="AI40" s="43"/>
      <c r="AJ40" s="43"/>
      <c r="AK40" s="43"/>
      <c r="AL40" s="43"/>
      <c r="AM40" s="43"/>
      <c r="AN40" s="43"/>
      <c r="AO40" s="43"/>
      <c r="AP40" s="43"/>
    </row>
    <row r="41" spans="1:43" s="44" customFormat="1" ht="30.75" customHeight="1">
      <c r="A41" s="51"/>
      <c r="B41" s="875" t="s">
        <v>1166</v>
      </c>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875"/>
      <c r="AM41" s="875"/>
      <c r="AN41" s="875"/>
      <c r="AO41" s="875"/>
      <c r="AP41" s="875"/>
      <c r="AQ41" s="875"/>
    </row>
    <row r="42" spans="1:43" s="44" customFormat="1" ht="30.75" customHeight="1">
      <c r="A42" s="51"/>
      <c r="B42" s="875" t="s">
        <v>1167</v>
      </c>
      <c r="C42" s="875"/>
      <c r="D42" s="875"/>
      <c r="E42" s="875"/>
      <c r="F42" s="875"/>
      <c r="G42" s="875"/>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row>
    <row r="43" spans="1:43" s="44" customFormat="1" ht="30.75" customHeight="1">
      <c r="A43" s="51"/>
      <c r="B43" s="875" t="s">
        <v>1168</v>
      </c>
      <c r="C43" s="875"/>
      <c r="D43" s="875"/>
      <c r="E43" s="875"/>
      <c r="F43" s="875"/>
      <c r="G43" s="875"/>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row>
    <row r="44" spans="1:43" s="44" customFormat="1" ht="30.75" customHeight="1">
      <c r="A44" s="51"/>
      <c r="B44" s="875" t="s">
        <v>1169</v>
      </c>
      <c r="C44" s="875"/>
      <c r="D44" s="875"/>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row>
    <row r="45" spans="1:43" s="44" customFormat="1" ht="30.75" customHeight="1">
      <c r="A45" s="51"/>
      <c r="B45" s="875" t="s">
        <v>1170</v>
      </c>
      <c r="C45" s="875"/>
      <c r="D45" s="875"/>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row>
    <row r="46" spans="1:43" s="44" customFormat="1" ht="30.75" customHeight="1">
      <c r="A46" s="51"/>
      <c r="B46" s="875" t="s">
        <v>1171</v>
      </c>
      <c r="C46" s="875"/>
      <c r="D46" s="875"/>
      <c r="E46" s="875"/>
      <c r="F46" s="875"/>
      <c r="G46" s="875"/>
      <c r="H46" s="875"/>
      <c r="I46" s="875"/>
      <c r="J46" s="875"/>
      <c r="K46" s="875"/>
      <c r="L46" s="875"/>
      <c r="M46" s="875"/>
      <c r="N46" s="875"/>
      <c r="O46" s="875"/>
      <c r="P46" s="875"/>
      <c r="Q46" s="875"/>
      <c r="R46" s="875"/>
      <c r="S46" s="875"/>
      <c r="T46" s="875"/>
      <c r="U46" s="875"/>
      <c r="V46" s="875"/>
      <c r="W46" s="875"/>
      <c r="X46" s="875"/>
      <c r="Y46" s="875"/>
      <c r="Z46" s="875"/>
      <c r="AA46" s="875"/>
      <c r="AB46" s="875"/>
      <c r="AC46" s="875"/>
      <c r="AD46" s="875"/>
      <c r="AE46" s="875"/>
      <c r="AF46" s="875"/>
      <c r="AG46" s="875"/>
      <c r="AH46" s="875"/>
      <c r="AI46" s="875"/>
      <c r="AJ46" s="875"/>
      <c r="AK46" s="875"/>
      <c r="AL46" s="875"/>
      <c r="AM46" s="875"/>
      <c r="AN46" s="875"/>
      <c r="AO46" s="875"/>
      <c r="AP46" s="875"/>
      <c r="AQ46" s="875"/>
    </row>
    <row r="47" spans="1:43" s="44" customFormat="1" ht="30.75" customHeight="1">
      <c r="A47" s="51"/>
      <c r="B47" s="875" t="s">
        <v>1172</v>
      </c>
      <c r="C47" s="875"/>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875"/>
      <c r="AK47" s="875"/>
      <c r="AL47" s="875"/>
      <c r="AM47" s="875"/>
      <c r="AN47" s="875"/>
      <c r="AO47" s="875"/>
      <c r="AP47" s="875"/>
      <c r="AQ47" s="875"/>
    </row>
    <row r="48" spans="1:43" s="44" customFormat="1" ht="30.75" customHeight="1">
      <c r="A48" s="51"/>
      <c r="B48" s="875" t="s">
        <v>1173</v>
      </c>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875"/>
      <c r="AK48" s="875"/>
      <c r="AL48" s="875"/>
      <c r="AM48" s="875"/>
      <c r="AN48" s="875"/>
      <c r="AO48" s="875"/>
      <c r="AP48" s="875"/>
      <c r="AQ48" s="875"/>
    </row>
    <row r="49" spans="1:43" s="44" customFormat="1" ht="30.75" customHeight="1">
      <c r="A49" s="51"/>
      <c r="B49" s="875" t="s">
        <v>1174</v>
      </c>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row>
    <row r="50" spans="1:43" s="44" customFormat="1" ht="30.75" customHeight="1">
      <c r="A50" s="51"/>
      <c r="B50" s="875" t="s">
        <v>1175</v>
      </c>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row>
    <row r="51" spans="1:43" s="44" customFormat="1" ht="30.75" customHeight="1">
      <c r="A51" s="51"/>
      <c r="B51" s="875" t="s">
        <v>1235</v>
      </c>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J51" s="875"/>
      <c r="AK51" s="875"/>
      <c r="AL51" s="875"/>
      <c r="AM51" s="875"/>
      <c r="AN51" s="875"/>
      <c r="AO51" s="875"/>
      <c r="AP51" s="875"/>
      <c r="AQ51" s="875"/>
    </row>
    <row r="52" spans="1:43" s="44" customFormat="1" ht="30.75" customHeight="1">
      <c r="A52" s="51"/>
      <c r="B52" s="875" t="s">
        <v>1236</v>
      </c>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875"/>
    </row>
    <row r="53" spans="1:43" s="44" customFormat="1" ht="30.75" customHeight="1">
      <c r="A53" s="51"/>
      <c r="B53" s="875" t="s">
        <v>1237</v>
      </c>
      <c r="C53" s="875"/>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5"/>
      <c r="AL53" s="875"/>
      <c r="AM53" s="875"/>
      <c r="AN53" s="875"/>
      <c r="AO53" s="875"/>
      <c r="AP53" s="875"/>
      <c r="AQ53" s="875"/>
    </row>
    <row r="54" spans="1:43" s="44" customFormat="1" ht="30.75" customHeight="1">
      <c r="A54" s="51"/>
      <c r="B54" s="875" t="s">
        <v>1238</v>
      </c>
      <c r="C54" s="875"/>
      <c r="D54" s="875"/>
      <c r="E54" s="875"/>
      <c r="F54" s="875"/>
      <c r="G54" s="875"/>
      <c r="H54" s="875"/>
      <c r="I54" s="875"/>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J54" s="875"/>
      <c r="AK54" s="875"/>
      <c r="AL54" s="875"/>
      <c r="AM54" s="875"/>
      <c r="AN54" s="875"/>
      <c r="AO54" s="875"/>
      <c r="AP54" s="875"/>
      <c r="AQ54" s="875"/>
    </row>
    <row r="55" spans="1:43" s="44" customFormat="1" ht="30.75" customHeight="1">
      <c r="A55" s="51"/>
      <c r="B55" s="875" t="s">
        <v>1239</v>
      </c>
      <c r="C55" s="875"/>
      <c r="D55" s="875"/>
      <c r="E55" s="875"/>
      <c r="F55" s="875"/>
      <c r="G55" s="875"/>
      <c r="H55" s="875"/>
      <c r="I55" s="875"/>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c r="AJ55" s="875"/>
      <c r="AK55" s="875"/>
      <c r="AL55" s="875"/>
      <c r="AM55" s="875"/>
      <c r="AN55" s="875"/>
      <c r="AO55" s="875"/>
      <c r="AP55" s="875"/>
      <c r="AQ55" s="875"/>
    </row>
    <row r="56" spans="1:43" s="44" customFormat="1" ht="30.75" customHeight="1">
      <c r="A56" s="51"/>
      <c r="B56" s="875" t="s">
        <v>1240</v>
      </c>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row>
    <row r="57" spans="1:43" s="44" customFormat="1" ht="30.75" customHeight="1">
      <c r="A57" s="51"/>
      <c r="B57" s="875" t="s">
        <v>1241</v>
      </c>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row>
    <row r="58" spans="1:43" s="44" customFormat="1" ht="30.75" customHeight="1">
      <c r="A58" s="51"/>
      <c r="B58" s="875" t="s">
        <v>0</v>
      </c>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row>
    <row r="59" spans="1:43" s="44" customFormat="1" ht="30.75" customHeight="1">
      <c r="A59" s="51"/>
      <c r="B59" s="875" t="s">
        <v>1</v>
      </c>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875"/>
      <c r="AM59" s="875"/>
      <c r="AN59" s="875"/>
      <c r="AO59" s="875"/>
      <c r="AP59" s="875"/>
      <c r="AQ59" s="875"/>
    </row>
    <row r="60" spans="1:43" s="44" customFormat="1" ht="30.75" customHeight="1">
      <c r="A60" s="51"/>
      <c r="B60" s="875" t="s">
        <v>2</v>
      </c>
      <c r="C60" s="875"/>
      <c r="D60" s="875"/>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5"/>
      <c r="AI60" s="875"/>
      <c r="AJ60" s="875"/>
      <c r="AK60" s="875"/>
      <c r="AL60" s="875"/>
      <c r="AM60" s="875"/>
      <c r="AN60" s="875"/>
      <c r="AO60" s="875"/>
      <c r="AP60" s="875"/>
      <c r="AQ60" s="875"/>
    </row>
    <row r="61" spans="1:43" s="44" customFormat="1" ht="30.75" customHeight="1">
      <c r="A61" s="51"/>
      <c r="B61" s="875" t="s">
        <v>3</v>
      </c>
      <c r="C61" s="875"/>
      <c r="D61" s="875"/>
      <c r="E61" s="875"/>
      <c r="F61" s="875"/>
      <c r="G61" s="875"/>
      <c r="H61" s="875"/>
      <c r="I61" s="875"/>
      <c r="J61" s="875"/>
      <c r="K61" s="875"/>
      <c r="L61" s="875"/>
      <c r="M61" s="875"/>
      <c r="N61" s="875"/>
      <c r="O61" s="875"/>
      <c r="P61" s="875"/>
      <c r="Q61" s="875"/>
      <c r="R61" s="875"/>
      <c r="S61" s="875"/>
      <c r="T61" s="875"/>
      <c r="U61" s="875"/>
      <c r="V61" s="875"/>
      <c r="W61" s="875"/>
      <c r="X61" s="875"/>
      <c r="Y61" s="875"/>
      <c r="Z61" s="875"/>
      <c r="AA61" s="875"/>
      <c r="AB61" s="875"/>
      <c r="AC61" s="875"/>
      <c r="AD61" s="875"/>
      <c r="AE61" s="875"/>
      <c r="AF61" s="875"/>
      <c r="AG61" s="875"/>
      <c r="AH61" s="875"/>
      <c r="AI61" s="875"/>
      <c r="AJ61" s="875"/>
      <c r="AK61" s="875"/>
      <c r="AL61" s="875"/>
      <c r="AM61" s="875"/>
      <c r="AN61" s="875"/>
      <c r="AO61" s="875"/>
      <c r="AP61" s="875"/>
      <c r="AQ61" s="875"/>
    </row>
    <row r="62" spans="1:43" s="44" customFormat="1" ht="30.75" customHeight="1">
      <c r="A62" s="51"/>
      <c r="B62" s="875" t="s">
        <v>4</v>
      </c>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5"/>
      <c r="AQ62" s="875"/>
    </row>
    <row r="63" spans="1:43" s="44" customFormat="1" ht="30.75" customHeight="1">
      <c r="A63" s="51"/>
      <c r="B63" s="875" t="s">
        <v>5</v>
      </c>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row>
    <row r="64" spans="1:43" s="44" customFormat="1" ht="30.75" customHeight="1">
      <c r="A64" s="51"/>
      <c r="B64" s="875" t="s">
        <v>6</v>
      </c>
      <c r="C64" s="875"/>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row>
    <row r="65" spans="1:43" s="44" customFormat="1" ht="30.75" customHeight="1">
      <c r="A65" s="51"/>
      <c r="B65" s="875" t="s">
        <v>7</v>
      </c>
      <c r="C65" s="875"/>
      <c r="D65" s="875"/>
      <c r="E65" s="875"/>
      <c r="F65" s="875"/>
      <c r="G65" s="875"/>
      <c r="H65" s="875"/>
      <c r="I65" s="875"/>
      <c r="J65" s="875"/>
      <c r="K65" s="875"/>
      <c r="L65" s="875"/>
      <c r="M65" s="875"/>
      <c r="N65" s="875"/>
      <c r="O65" s="875"/>
      <c r="P65" s="875"/>
      <c r="Q65" s="875"/>
      <c r="R65" s="875"/>
      <c r="S65" s="875"/>
      <c r="T65" s="875"/>
      <c r="U65" s="875"/>
      <c r="V65" s="875"/>
      <c r="W65" s="875"/>
      <c r="X65" s="875"/>
      <c r="Y65" s="875"/>
      <c r="Z65" s="875"/>
      <c r="AA65" s="875"/>
      <c r="AB65" s="875"/>
      <c r="AC65" s="875"/>
      <c r="AD65" s="875"/>
      <c r="AE65" s="875"/>
      <c r="AF65" s="875"/>
      <c r="AG65" s="875"/>
      <c r="AH65" s="875"/>
      <c r="AI65" s="875"/>
      <c r="AJ65" s="875"/>
      <c r="AK65" s="875"/>
      <c r="AL65" s="875"/>
      <c r="AM65" s="875"/>
      <c r="AN65" s="875"/>
      <c r="AO65" s="875"/>
      <c r="AP65" s="875"/>
      <c r="AQ65" s="875"/>
    </row>
    <row r="66" spans="1:43" s="44" customFormat="1" ht="30.75" customHeight="1">
      <c r="A66" s="51"/>
      <c r="B66" s="875" t="s">
        <v>8</v>
      </c>
      <c r="C66" s="875"/>
      <c r="D66" s="875"/>
      <c r="E66" s="875"/>
      <c r="F66" s="875"/>
      <c r="G66" s="875"/>
      <c r="H66" s="875"/>
      <c r="I66" s="875"/>
      <c r="J66" s="875"/>
      <c r="K66" s="875"/>
      <c r="L66" s="875"/>
      <c r="M66" s="875"/>
      <c r="N66" s="875"/>
      <c r="O66" s="875"/>
      <c r="P66" s="875"/>
      <c r="Q66" s="875"/>
      <c r="R66" s="875"/>
      <c r="S66" s="875"/>
      <c r="T66" s="875"/>
      <c r="U66" s="875"/>
      <c r="V66" s="875"/>
      <c r="W66" s="875"/>
      <c r="X66" s="875"/>
      <c r="Y66" s="875"/>
      <c r="Z66" s="875"/>
      <c r="AA66" s="875"/>
      <c r="AB66" s="875"/>
      <c r="AC66" s="875"/>
      <c r="AD66" s="875"/>
      <c r="AE66" s="875"/>
      <c r="AF66" s="875"/>
      <c r="AG66" s="875"/>
      <c r="AH66" s="875"/>
      <c r="AI66" s="875"/>
      <c r="AJ66" s="875"/>
      <c r="AK66" s="875"/>
      <c r="AL66" s="875"/>
      <c r="AM66" s="875"/>
      <c r="AN66" s="875"/>
      <c r="AO66" s="875"/>
      <c r="AP66" s="875"/>
      <c r="AQ66" s="875"/>
    </row>
    <row r="67" spans="1:43" s="44" customFormat="1" ht="30.75" customHeight="1">
      <c r="A67" s="51"/>
      <c r="B67" s="875" t="s">
        <v>9</v>
      </c>
      <c r="C67" s="875"/>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875"/>
    </row>
    <row r="68" spans="1:43" s="44" customFormat="1" ht="30.75" customHeight="1">
      <c r="A68" s="51"/>
      <c r="B68" s="875" t="s">
        <v>10</v>
      </c>
      <c r="C68" s="875"/>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row>
    <row r="69" spans="1:43" s="44" customFormat="1" ht="30.75" customHeight="1">
      <c r="A69" s="51"/>
      <c r="B69" s="875" t="s">
        <v>11</v>
      </c>
      <c r="C69" s="875"/>
      <c r="D69" s="875"/>
      <c r="E69" s="875"/>
      <c r="F69" s="875"/>
      <c r="G69" s="875"/>
      <c r="H69" s="875"/>
      <c r="I69" s="875"/>
      <c r="J69" s="875"/>
      <c r="K69" s="875"/>
      <c r="L69" s="875"/>
      <c r="M69" s="875"/>
      <c r="N69" s="875"/>
      <c r="O69" s="875"/>
      <c r="P69" s="875"/>
      <c r="Q69" s="875"/>
      <c r="R69" s="875"/>
      <c r="S69" s="875"/>
      <c r="T69" s="875"/>
      <c r="U69" s="875"/>
      <c r="V69" s="875"/>
      <c r="W69" s="875"/>
      <c r="X69" s="875"/>
      <c r="Y69" s="875"/>
      <c r="Z69" s="875"/>
      <c r="AA69" s="875"/>
      <c r="AB69" s="875"/>
      <c r="AC69" s="875"/>
      <c r="AD69" s="875"/>
      <c r="AE69" s="875"/>
      <c r="AF69" s="875"/>
      <c r="AG69" s="875"/>
      <c r="AH69" s="875"/>
      <c r="AI69" s="875"/>
      <c r="AJ69" s="875"/>
      <c r="AK69" s="875"/>
      <c r="AL69" s="875"/>
      <c r="AM69" s="875"/>
      <c r="AN69" s="875"/>
      <c r="AO69" s="875"/>
      <c r="AP69" s="875"/>
      <c r="AQ69" s="875"/>
    </row>
    <row r="70" spans="1:43" s="44" customFormat="1" ht="30.75" customHeight="1">
      <c r="A70" s="51"/>
      <c r="B70" s="875" t="s">
        <v>12</v>
      </c>
      <c r="C70" s="875"/>
      <c r="D70" s="875"/>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row>
    <row r="71" spans="1:43" s="44" customFormat="1" ht="30.75" customHeight="1">
      <c r="A71" s="51"/>
      <c r="B71" s="875" t="s">
        <v>1231</v>
      </c>
      <c r="C71" s="875"/>
      <c r="D71" s="875"/>
      <c r="E71" s="875"/>
      <c r="F71" s="875"/>
      <c r="G71" s="875"/>
      <c r="H71" s="875"/>
      <c r="I71" s="875"/>
      <c r="J71" s="875"/>
      <c r="K71" s="875"/>
      <c r="L71" s="875"/>
      <c r="M71" s="875"/>
      <c r="N71" s="875"/>
      <c r="O71" s="875"/>
      <c r="P71" s="875"/>
      <c r="Q71" s="875"/>
      <c r="R71" s="875"/>
      <c r="S71" s="875"/>
      <c r="T71" s="875"/>
      <c r="U71" s="875"/>
      <c r="V71" s="875"/>
      <c r="W71" s="875"/>
      <c r="X71" s="875"/>
      <c r="Y71" s="875"/>
      <c r="Z71" s="875"/>
      <c r="AA71" s="875"/>
      <c r="AB71" s="875"/>
      <c r="AC71" s="875"/>
      <c r="AD71" s="875"/>
      <c r="AE71" s="875"/>
      <c r="AF71" s="875"/>
      <c r="AG71" s="875"/>
      <c r="AH71" s="875"/>
      <c r="AI71" s="875"/>
      <c r="AJ71" s="875"/>
      <c r="AK71" s="875"/>
      <c r="AL71" s="875"/>
      <c r="AM71" s="875"/>
      <c r="AN71" s="875"/>
      <c r="AO71" s="875"/>
      <c r="AP71" s="875"/>
      <c r="AQ71" s="875"/>
    </row>
    <row r="72" spans="1:43" s="44" customFormat="1" ht="30.75" customHeight="1">
      <c r="A72" s="51"/>
      <c r="B72" s="875" t="s">
        <v>1232</v>
      </c>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row>
    <row r="73" spans="1:43" s="44" customFormat="1" ht="30.75" customHeight="1">
      <c r="A73" s="51"/>
      <c r="B73" s="875" t="s">
        <v>1233</v>
      </c>
      <c r="C73" s="875"/>
      <c r="D73" s="875"/>
      <c r="E73" s="875"/>
      <c r="F73" s="875"/>
      <c r="G73" s="875"/>
      <c r="H73" s="875"/>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row>
    <row r="74" spans="1:43" s="44" customFormat="1" ht="30.75" customHeight="1">
      <c r="A74" s="51"/>
      <c r="B74" s="875" t="s">
        <v>1234</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row>
    <row r="75" spans="1:43" s="44" customFormat="1" ht="30.75" customHeight="1">
      <c r="A75" s="51"/>
      <c r="B75" s="875" t="s">
        <v>1176</v>
      </c>
      <c r="C75" s="875"/>
      <c r="D75" s="875"/>
      <c r="E75" s="875"/>
      <c r="F75" s="875"/>
      <c r="G75" s="875"/>
      <c r="H75" s="875"/>
      <c r="I75" s="875"/>
      <c r="J75" s="875"/>
      <c r="K75" s="875"/>
      <c r="L75" s="875"/>
      <c r="M75" s="875"/>
      <c r="N75" s="875"/>
      <c r="O75" s="875"/>
      <c r="P75" s="875"/>
      <c r="Q75" s="875"/>
      <c r="R75" s="875"/>
      <c r="S75" s="875"/>
      <c r="T75" s="875"/>
      <c r="U75" s="875"/>
      <c r="V75" s="875"/>
      <c r="W75" s="875"/>
      <c r="X75" s="875"/>
      <c r="Y75" s="875"/>
      <c r="Z75" s="875"/>
      <c r="AA75" s="875"/>
      <c r="AB75" s="875"/>
      <c r="AC75" s="875"/>
      <c r="AD75" s="875"/>
      <c r="AE75" s="875"/>
      <c r="AF75" s="875"/>
      <c r="AG75" s="875"/>
      <c r="AH75" s="875"/>
      <c r="AI75" s="875"/>
      <c r="AJ75" s="875"/>
      <c r="AK75" s="875"/>
      <c r="AL75" s="875"/>
      <c r="AM75" s="875"/>
      <c r="AN75" s="875"/>
      <c r="AO75" s="875"/>
      <c r="AP75" s="875"/>
      <c r="AQ75" s="875"/>
    </row>
    <row r="76" spans="2:42" ht="19.5" customHeight="1">
      <c r="B76" s="876"/>
      <c r="C76" s="876"/>
      <c r="D76" s="876"/>
      <c r="E76" s="876"/>
      <c r="F76" s="876"/>
      <c r="G76" s="876"/>
      <c r="H76" s="876"/>
      <c r="I76" s="876"/>
      <c r="J76" s="876"/>
      <c r="K76" s="876"/>
      <c r="L76" s="876"/>
      <c r="M76" s="876"/>
      <c r="N76" s="876"/>
      <c r="O76" s="876"/>
      <c r="P76" s="876"/>
      <c r="Q76" s="876"/>
      <c r="R76" s="876"/>
      <c r="S76" s="876"/>
      <c r="T76" s="876"/>
      <c r="U76" s="876"/>
      <c r="V76" s="876"/>
      <c r="W76" s="52"/>
      <c r="X76" s="52"/>
      <c r="Y76" s="52"/>
      <c r="Z76" s="52"/>
      <c r="AA76" s="52"/>
      <c r="AB76" s="52"/>
      <c r="AC76" s="52"/>
      <c r="AD76" s="52"/>
      <c r="AE76" s="52"/>
      <c r="AF76" s="52"/>
      <c r="AG76" s="52"/>
      <c r="AH76" s="52"/>
      <c r="AI76" s="52"/>
      <c r="AJ76" s="52"/>
      <c r="AK76" s="52"/>
      <c r="AL76" s="52"/>
      <c r="AM76" s="52"/>
      <c r="AN76" s="52"/>
      <c r="AO76" s="52"/>
      <c r="AP76" s="52"/>
    </row>
    <row r="77" ht="19.5" customHeight="1"/>
    <row r="78" ht="19.5" customHeight="1"/>
    <row r="79" ht="19.5" customHeight="1">
      <c r="AQ79" s="9"/>
    </row>
    <row r="80" ht="19.5" customHeight="1">
      <c r="AQ80" s="9"/>
    </row>
    <row r="81" ht="19.5" customHeight="1">
      <c r="AQ81" s="9"/>
    </row>
    <row r="82" ht="19.5" customHeight="1">
      <c r="AQ82" s="9"/>
    </row>
    <row r="83" ht="19.5" customHeight="1">
      <c r="AQ83" s="9"/>
    </row>
    <row r="84" ht="19.5" customHeight="1">
      <c r="AQ84" s="9"/>
    </row>
    <row r="85" ht="19.5" customHeight="1">
      <c r="AQ85" s="9"/>
    </row>
    <row r="86" ht="19.5" customHeight="1">
      <c r="AQ86" s="9"/>
    </row>
    <row r="87" ht="19.5" customHeight="1">
      <c r="AQ87" s="9"/>
    </row>
    <row r="88" ht="19.5" customHeight="1">
      <c r="AQ88" s="9"/>
    </row>
    <row r="89" ht="19.5" customHeight="1">
      <c r="AQ89" s="9"/>
    </row>
    <row r="90" ht="19.5" customHeight="1">
      <c r="AQ90" s="9"/>
    </row>
    <row r="91" ht="18.75">
      <c r="AQ91" s="9"/>
    </row>
    <row r="92" ht="18.75">
      <c r="AQ92" s="9"/>
    </row>
    <row r="93" ht="18.75">
      <c r="AQ93" s="9"/>
    </row>
    <row r="94" ht="18.75">
      <c r="AQ94" s="9"/>
    </row>
    <row r="95" ht="18.75">
      <c r="AQ95" s="9"/>
    </row>
    <row r="96" ht="18.75">
      <c r="AQ96" s="9"/>
    </row>
    <row r="97" ht="18.75">
      <c r="AQ97" s="9"/>
    </row>
    <row r="98" ht="18.75">
      <c r="AQ98" s="9"/>
    </row>
    <row r="99" ht="18.75">
      <c r="AQ99" s="9"/>
    </row>
    <row r="100" ht="18.75">
      <c r="AQ100" s="9"/>
    </row>
    <row r="101" ht="18.75">
      <c r="AQ101" s="9"/>
    </row>
    <row r="102" ht="18.75">
      <c r="AQ102" s="9"/>
    </row>
    <row r="103" ht="18.75">
      <c r="AQ103" s="9"/>
    </row>
    <row r="104" ht="18.75">
      <c r="AQ104" s="9"/>
    </row>
    <row r="105" ht="18.75">
      <c r="AQ105" s="9"/>
    </row>
    <row r="106" ht="18.75">
      <c r="AQ106" s="9"/>
    </row>
    <row r="107" ht="18.75">
      <c r="AQ107" s="9"/>
    </row>
    <row r="108" ht="18.75">
      <c r="AQ108" s="9"/>
    </row>
    <row r="109" ht="18.75">
      <c r="AQ109" s="9"/>
    </row>
    <row r="110" ht="18.75">
      <c r="AQ110" s="9"/>
    </row>
    <row r="111" ht="18.75">
      <c r="AQ111" s="9"/>
    </row>
    <row r="112" ht="18.75">
      <c r="AQ112" s="9"/>
    </row>
    <row r="113" ht="18.75">
      <c r="AQ113" s="9"/>
    </row>
    <row r="114" ht="18.75">
      <c r="AQ114" s="9"/>
    </row>
    <row r="115" ht="18.75">
      <c r="AQ115" s="9"/>
    </row>
    <row r="116" ht="18.75">
      <c r="AQ116" s="9"/>
    </row>
    <row r="117" ht="18.75">
      <c r="AQ117" s="9"/>
    </row>
    <row r="118" ht="18.75">
      <c r="AQ118" s="9"/>
    </row>
    <row r="119" ht="18.75">
      <c r="AQ119" s="9"/>
    </row>
    <row r="120" ht="18.75">
      <c r="AQ120" s="9"/>
    </row>
    <row r="121" ht="18.75">
      <c r="AQ121" s="9"/>
    </row>
    <row r="122" ht="18.75">
      <c r="AQ122" s="9"/>
    </row>
    <row r="123" ht="18.75">
      <c r="AQ123" s="9"/>
    </row>
    <row r="124" ht="18.75">
      <c r="AQ124" s="9"/>
    </row>
    <row r="125" ht="18.75">
      <c r="AQ125" s="9"/>
    </row>
    <row r="126" ht="18.75">
      <c r="AQ126" s="9"/>
    </row>
    <row r="127" ht="18.75">
      <c r="AQ127" s="9"/>
    </row>
    <row r="128" ht="18.75">
      <c r="AQ128" s="9"/>
    </row>
    <row r="129" ht="18.75">
      <c r="AQ129" s="9"/>
    </row>
    <row r="130" ht="18.75">
      <c r="AQ130" s="9"/>
    </row>
    <row r="131" ht="18.75">
      <c r="AQ131" s="9"/>
    </row>
    <row r="132" ht="18.75">
      <c r="AQ132" s="9"/>
    </row>
    <row r="133" ht="18.75">
      <c r="AQ133" s="9"/>
    </row>
    <row r="134" ht="18.75">
      <c r="AQ134" s="9"/>
    </row>
    <row r="135" ht="18.75">
      <c r="AQ135" s="9"/>
    </row>
    <row r="136" ht="18.75">
      <c r="AQ136" s="9"/>
    </row>
    <row r="137" ht="18.75">
      <c r="AQ137" s="9"/>
    </row>
    <row r="138" ht="18.75">
      <c r="AQ138" s="9"/>
    </row>
    <row r="139" ht="18.75">
      <c r="AQ139" s="9"/>
    </row>
    <row r="140" ht="18.75">
      <c r="AQ140" s="9"/>
    </row>
    <row r="141" ht="18.75">
      <c r="AQ141" s="9"/>
    </row>
    <row r="142" ht="18.75">
      <c r="AQ142" s="9"/>
    </row>
    <row r="143" ht="18.75">
      <c r="AQ143" s="9"/>
    </row>
    <row r="144" ht="18.75">
      <c r="AQ144" s="9"/>
    </row>
    <row r="145" ht="18.75">
      <c r="AQ145" s="9"/>
    </row>
    <row r="146" ht="18.75">
      <c r="AQ146" s="9"/>
    </row>
    <row r="147" ht="18.75">
      <c r="AQ147" s="9"/>
    </row>
    <row r="148" ht="18.75">
      <c r="AQ148" s="9"/>
    </row>
    <row r="149" ht="18.75">
      <c r="AQ149" s="9"/>
    </row>
    <row r="150" ht="18.75">
      <c r="AQ150" s="9"/>
    </row>
    <row r="151" ht="18.75">
      <c r="AQ151" s="9"/>
    </row>
    <row r="152" ht="18.75">
      <c r="AQ152" s="9"/>
    </row>
    <row r="153" ht="18.75">
      <c r="AQ153" s="9"/>
    </row>
    <row r="154" ht="18.75">
      <c r="AQ154" s="9"/>
    </row>
    <row r="155" ht="18.75">
      <c r="AQ155" s="9"/>
    </row>
    <row r="156" ht="18.75">
      <c r="AQ156" s="9"/>
    </row>
    <row r="157" ht="18.75">
      <c r="AQ157" s="9"/>
    </row>
    <row r="158" ht="18.75">
      <c r="AQ158" s="9"/>
    </row>
    <row r="159" ht="18.75">
      <c r="AQ159" s="9"/>
    </row>
    <row r="160" ht="18.75">
      <c r="AQ160" s="9"/>
    </row>
    <row r="161" ht="18.75">
      <c r="AQ161" s="9"/>
    </row>
    <row r="162" ht="18.75">
      <c r="AQ162" s="9"/>
    </row>
    <row r="163" ht="18.75">
      <c r="AQ163" s="9"/>
    </row>
    <row r="164" ht="18.75">
      <c r="AQ164" s="9"/>
    </row>
    <row r="165" ht="18.75">
      <c r="AQ165" s="9"/>
    </row>
    <row r="166" ht="18.75">
      <c r="AQ166" s="9"/>
    </row>
    <row r="167" ht="18.75">
      <c r="AQ167" s="9"/>
    </row>
    <row r="168" ht="18.75">
      <c r="AQ168" s="9"/>
    </row>
    <row r="169" ht="18.75">
      <c r="AQ169" s="9"/>
    </row>
    <row r="170" ht="18.75">
      <c r="AQ170" s="9"/>
    </row>
    <row r="171" ht="18.75">
      <c r="AQ171" s="9"/>
    </row>
    <row r="172" ht="18.75">
      <c r="AQ172" s="9"/>
    </row>
    <row r="173" ht="18.75">
      <c r="AQ173" s="9"/>
    </row>
    <row r="174" ht="18.75">
      <c r="AQ174" s="9"/>
    </row>
    <row r="175" ht="18.75">
      <c r="AQ175" s="9"/>
    </row>
    <row r="176" ht="18.75">
      <c r="AQ176" s="9"/>
    </row>
    <row r="177" ht="18.75">
      <c r="AQ177" s="9"/>
    </row>
    <row r="178" ht="18.75">
      <c r="AQ178" s="9"/>
    </row>
    <row r="179" ht="18.75">
      <c r="AQ179" s="9"/>
    </row>
    <row r="180" ht="18.75">
      <c r="AQ180" s="9"/>
    </row>
    <row r="181" ht="18.75">
      <c r="AQ181" s="9"/>
    </row>
    <row r="182" ht="18.75">
      <c r="AQ182" s="9"/>
    </row>
    <row r="183" ht="18.75">
      <c r="AQ183" s="9"/>
    </row>
    <row r="184" ht="18.75">
      <c r="AQ184" s="9"/>
    </row>
    <row r="185" ht="18.75">
      <c r="AQ185" s="9"/>
    </row>
    <row r="186" ht="18.75">
      <c r="AQ186" s="9"/>
    </row>
    <row r="187" ht="18.75">
      <c r="AQ187" s="9"/>
    </row>
    <row r="188" ht="18.75">
      <c r="AQ188" s="9"/>
    </row>
    <row r="189" ht="18.75">
      <c r="AQ189" s="9"/>
    </row>
    <row r="190" ht="18.75">
      <c r="AQ190" s="9"/>
    </row>
    <row r="191" ht="18.75">
      <c r="AQ191" s="9"/>
    </row>
    <row r="192" ht="18.75">
      <c r="AQ192" s="9"/>
    </row>
    <row r="193" ht="18.75">
      <c r="AQ193" s="9"/>
    </row>
    <row r="194" ht="18.75">
      <c r="AQ194" s="9"/>
    </row>
    <row r="195" ht="18.75">
      <c r="AQ195" s="9"/>
    </row>
    <row r="196" ht="18.75">
      <c r="AQ196" s="9"/>
    </row>
    <row r="197" ht="18.75">
      <c r="AQ197" s="9"/>
    </row>
    <row r="198" ht="18.75">
      <c r="AQ198" s="9"/>
    </row>
    <row r="199" ht="18.75">
      <c r="AQ199" s="9"/>
    </row>
    <row r="200" ht="18.75">
      <c r="AQ200" s="9"/>
    </row>
    <row r="201" ht="18.75">
      <c r="AQ201" s="9"/>
    </row>
    <row r="202" ht="18.75">
      <c r="AQ202" s="9"/>
    </row>
    <row r="203" ht="18.75">
      <c r="AQ203" s="9"/>
    </row>
    <row r="204" ht="18.75">
      <c r="AQ204" s="9"/>
    </row>
    <row r="205" ht="18.75">
      <c r="AQ205" s="9"/>
    </row>
    <row r="206" ht="18.75">
      <c r="AQ206" s="9"/>
    </row>
    <row r="207" ht="18.75">
      <c r="AQ207" s="9"/>
    </row>
    <row r="208" ht="18.75">
      <c r="AQ208" s="9"/>
    </row>
    <row r="209" ht="18.75">
      <c r="AQ209" s="9"/>
    </row>
    <row r="210" ht="18.75">
      <c r="AQ210" s="9"/>
    </row>
    <row r="211" ht="18.75">
      <c r="AQ211" s="9"/>
    </row>
    <row r="212" ht="18.75">
      <c r="AQ212" s="9"/>
    </row>
    <row r="213" ht="18.75">
      <c r="AQ213" s="9"/>
    </row>
    <row r="214" ht="18.75">
      <c r="AQ214" s="9"/>
    </row>
    <row r="215" ht="18.75">
      <c r="AQ215" s="9"/>
    </row>
    <row r="216" ht="18.75">
      <c r="AQ216" s="9"/>
    </row>
    <row r="217" ht="18.75">
      <c r="AQ217" s="9"/>
    </row>
    <row r="218" ht="18.75">
      <c r="AQ218" s="9"/>
    </row>
    <row r="219" ht="18.75">
      <c r="AQ219" s="9"/>
    </row>
    <row r="220" ht="18.75">
      <c r="AQ220" s="9"/>
    </row>
    <row r="221" ht="18.75">
      <c r="AQ221" s="9"/>
    </row>
    <row r="222" ht="18.75">
      <c r="AQ222" s="9"/>
    </row>
    <row r="223" ht="18.75">
      <c r="AQ223" s="9"/>
    </row>
    <row r="224" ht="18.75">
      <c r="AQ224" s="9"/>
    </row>
    <row r="225" ht="18.75">
      <c r="AQ225" s="9"/>
    </row>
    <row r="226" ht="18.75">
      <c r="AQ226" s="9"/>
    </row>
    <row r="227" ht="18.75">
      <c r="AQ227" s="9"/>
    </row>
    <row r="228" ht="18.75">
      <c r="AQ228" s="9"/>
    </row>
    <row r="229" ht="18.75">
      <c r="AQ229" s="9"/>
    </row>
    <row r="230" ht="18.75">
      <c r="AQ230" s="9"/>
    </row>
    <row r="231" ht="18.75">
      <c r="AQ231" s="9"/>
    </row>
    <row r="232" ht="18.75">
      <c r="AQ232" s="9"/>
    </row>
    <row r="233" ht="18.75">
      <c r="AQ233" s="9"/>
    </row>
    <row r="234" ht="18.75">
      <c r="AQ234" s="9"/>
    </row>
    <row r="235" ht="18.75">
      <c r="AQ235" s="9"/>
    </row>
    <row r="236" ht="18.75">
      <c r="AQ236" s="9"/>
    </row>
    <row r="237" ht="18.75">
      <c r="AQ237" s="9"/>
    </row>
    <row r="238" ht="18.75">
      <c r="AQ238" s="9"/>
    </row>
    <row r="239" ht="18.75">
      <c r="AQ239" s="9"/>
    </row>
    <row r="240" ht="18.75">
      <c r="AQ240" s="9"/>
    </row>
    <row r="241" ht="18.75">
      <c r="AQ241" s="9"/>
    </row>
    <row r="242" ht="18.75">
      <c r="AQ242" s="9"/>
    </row>
    <row r="243" ht="18.75">
      <c r="AQ243" s="9"/>
    </row>
    <row r="244" ht="18.75">
      <c r="AQ244" s="9"/>
    </row>
    <row r="245" ht="18.75">
      <c r="AQ245" s="9"/>
    </row>
    <row r="246" ht="18.75">
      <c r="AQ246" s="9"/>
    </row>
    <row r="247" ht="18.75">
      <c r="AQ247" s="9"/>
    </row>
    <row r="248" ht="18.75">
      <c r="AQ248" s="9"/>
    </row>
    <row r="249" ht="18.75">
      <c r="AQ249" s="9"/>
    </row>
    <row r="250" ht="18.75">
      <c r="AQ250" s="9"/>
    </row>
    <row r="251" ht="18.75">
      <c r="AQ251" s="9"/>
    </row>
    <row r="252" ht="18.75">
      <c r="AQ252" s="9"/>
    </row>
    <row r="253" ht="18.75">
      <c r="AQ253" s="9"/>
    </row>
    <row r="254" ht="18.75">
      <c r="AQ254" s="9"/>
    </row>
    <row r="255" ht="18.75">
      <c r="AQ255" s="9"/>
    </row>
    <row r="256" ht="18.75">
      <c r="AQ256" s="9"/>
    </row>
    <row r="257" ht="18.75">
      <c r="AQ257" s="9"/>
    </row>
    <row r="258" ht="18.75">
      <c r="AQ258" s="9"/>
    </row>
    <row r="259" ht="18.75">
      <c r="AQ259" s="9"/>
    </row>
    <row r="260" ht="18.75">
      <c r="AQ260" s="9"/>
    </row>
    <row r="261" ht="18.75">
      <c r="AQ261" s="9"/>
    </row>
    <row r="262" ht="18.75">
      <c r="AQ262" s="9"/>
    </row>
    <row r="263" ht="18.75">
      <c r="AQ263" s="9"/>
    </row>
    <row r="264" ht="18.75">
      <c r="AQ264" s="9"/>
    </row>
    <row r="265" ht="18.75">
      <c r="AQ265" s="9"/>
    </row>
    <row r="266" ht="18.75">
      <c r="AQ266" s="9"/>
    </row>
    <row r="267" ht="18.75">
      <c r="AQ267" s="9"/>
    </row>
    <row r="268" ht="18.75">
      <c r="AQ268" s="9"/>
    </row>
    <row r="269" ht="18.75">
      <c r="AQ269" s="9"/>
    </row>
    <row r="270" ht="18.75">
      <c r="AQ270" s="9"/>
    </row>
    <row r="271" ht="18.75">
      <c r="AQ271" s="9"/>
    </row>
    <row r="272" ht="18.75">
      <c r="AQ272" s="9"/>
    </row>
    <row r="273" ht="18.75">
      <c r="AQ273" s="9"/>
    </row>
    <row r="274" ht="18.75">
      <c r="AQ274" s="9"/>
    </row>
    <row r="275" ht="18.75">
      <c r="AQ275" s="9"/>
    </row>
    <row r="276" ht="18.75">
      <c r="AQ276" s="9"/>
    </row>
    <row r="277" ht="18.75">
      <c r="AQ277" s="9"/>
    </row>
    <row r="278" ht="18.75">
      <c r="AQ278" s="9"/>
    </row>
    <row r="279" ht="18.75">
      <c r="AQ279" s="9"/>
    </row>
    <row r="280" ht="18.75">
      <c r="AQ280" s="9"/>
    </row>
    <row r="281" ht="18.75">
      <c r="AQ281" s="9"/>
    </row>
    <row r="282" ht="18.75">
      <c r="AQ282" s="9"/>
    </row>
    <row r="283" ht="18.75">
      <c r="AQ283" s="9"/>
    </row>
    <row r="284" ht="18.75">
      <c r="AQ284" s="9"/>
    </row>
    <row r="285" ht="18.75">
      <c r="AQ285" s="9"/>
    </row>
    <row r="286" ht="18.75">
      <c r="AQ286" s="9"/>
    </row>
    <row r="287" ht="18.75">
      <c r="AQ287" s="9"/>
    </row>
    <row r="288" ht="18.75">
      <c r="AQ288" s="9"/>
    </row>
    <row r="289" ht="18.75">
      <c r="AQ289" s="9"/>
    </row>
    <row r="290" ht="18.75">
      <c r="AQ290" s="9"/>
    </row>
    <row r="291" ht="18.75">
      <c r="AQ291" s="9"/>
    </row>
    <row r="292" ht="18.75">
      <c r="AQ292" s="9"/>
    </row>
    <row r="293" ht="18.75">
      <c r="AQ293" s="9"/>
    </row>
    <row r="294" ht="18.75">
      <c r="AQ294" s="9"/>
    </row>
    <row r="295" ht="18.75">
      <c r="AQ295" s="9"/>
    </row>
    <row r="296" ht="18.75">
      <c r="AQ296" s="9"/>
    </row>
    <row r="297" ht="18.75">
      <c r="AQ297" s="9"/>
    </row>
    <row r="298" ht="18.75">
      <c r="AQ298" s="9"/>
    </row>
    <row r="299" ht="18.75">
      <c r="AQ299" s="9"/>
    </row>
    <row r="300" ht="18.75">
      <c r="AQ300" s="9"/>
    </row>
    <row r="301" ht="18.75">
      <c r="AQ301" s="9"/>
    </row>
    <row r="302" ht="18.75">
      <c r="AQ302" s="9"/>
    </row>
    <row r="303" ht="18.75">
      <c r="AQ303" s="9"/>
    </row>
    <row r="304" ht="18.75">
      <c r="AQ304" s="9"/>
    </row>
    <row r="305" ht="18.75">
      <c r="AQ305" s="9"/>
    </row>
    <row r="306" ht="18.75">
      <c r="AQ306" s="9"/>
    </row>
    <row r="307" ht="18.75">
      <c r="AQ307" s="9"/>
    </row>
    <row r="308" ht="18.75">
      <c r="AQ308" s="9"/>
    </row>
    <row r="309" ht="18.75">
      <c r="AQ309" s="9"/>
    </row>
    <row r="310" ht="18.75">
      <c r="AQ310" s="9"/>
    </row>
    <row r="311" ht="18.75">
      <c r="AQ311" s="9"/>
    </row>
    <row r="312" ht="18.75">
      <c r="AQ312" s="9"/>
    </row>
    <row r="313" ht="18.75">
      <c r="AQ313" s="9"/>
    </row>
    <row r="314" ht="18.75">
      <c r="AQ314" s="9"/>
    </row>
    <row r="315" ht="18.75">
      <c r="AQ315" s="9"/>
    </row>
    <row r="316" ht="18.75">
      <c r="AQ316" s="9"/>
    </row>
    <row r="317" ht="18.75">
      <c r="AQ317" s="9"/>
    </row>
    <row r="318" ht="18.75">
      <c r="AQ318" s="9"/>
    </row>
    <row r="319" ht="18.75">
      <c r="AQ319" s="9"/>
    </row>
    <row r="320" ht="18.75">
      <c r="AQ320" s="9"/>
    </row>
    <row r="321" ht="18.75">
      <c r="AQ321" s="9"/>
    </row>
    <row r="322" ht="18.75">
      <c r="AQ322" s="9"/>
    </row>
    <row r="323" ht="18.75">
      <c r="AQ323" s="9"/>
    </row>
    <row r="324" ht="18.75">
      <c r="AQ324" s="9"/>
    </row>
    <row r="325" ht="18.75">
      <c r="AQ325" s="9"/>
    </row>
    <row r="326" ht="18.75">
      <c r="AQ326" s="9"/>
    </row>
    <row r="327" ht="18.75">
      <c r="AQ327" s="9"/>
    </row>
    <row r="328" ht="18.75">
      <c r="AQ328" s="9"/>
    </row>
    <row r="329" ht="18.75">
      <c r="AQ329" s="9"/>
    </row>
    <row r="330" ht="18.75">
      <c r="AQ330" s="9"/>
    </row>
    <row r="331" ht="18.75">
      <c r="AQ331" s="9"/>
    </row>
    <row r="332" ht="18.75">
      <c r="AQ332" s="9"/>
    </row>
    <row r="333" ht="18.75">
      <c r="AQ333" s="9"/>
    </row>
    <row r="334" ht="18.75">
      <c r="AQ334" s="9"/>
    </row>
    <row r="335" ht="18.75">
      <c r="AQ335" s="9"/>
    </row>
    <row r="336" ht="18.75">
      <c r="AQ336" s="9"/>
    </row>
    <row r="337" ht="18.75">
      <c r="AQ337" s="9"/>
    </row>
    <row r="338" ht="18.75">
      <c r="AQ338" s="9"/>
    </row>
    <row r="339" ht="18.75">
      <c r="AQ339" s="9"/>
    </row>
    <row r="340" ht="18.75">
      <c r="AQ340" s="9"/>
    </row>
    <row r="341" ht="18.75">
      <c r="AQ341" s="9"/>
    </row>
    <row r="342" ht="18.75">
      <c r="AQ342" s="9"/>
    </row>
    <row r="343" ht="18.75">
      <c r="AQ343" s="9"/>
    </row>
    <row r="344" ht="18.75">
      <c r="AQ344" s="9"/>
    </row>
    <row r="345" ht="18.75">
      <c r="AQ345" s="9"/>
    </row>
    <row r="346" ht="18.75">
      <c r="AQ346" s="9"/>
    </row>
    <row r="347" ht="18.75">
      <c r="AQ347" s="9"/>
    </row>
    <row r="348" ht="18.75">
      <c r="AQ348" s="9"/>
    </row>
    <row r="349" ht="18.75">
      <c r="AQ349" s="9"/>
    </row>
    <row r="350" ht="18.75">
      <c r="AQ350" s="9"/>
    </row>
    <row r="351" ht="18.75">
      <c r="AQ351" s="9"/>
    </row>
    <row r="352" ht="18.75">
      <c r="AQ352" s="9"/>
    </row>
    <row r="353" ht="18.75">
      <c r="AQ353" s="9"/>
    </row>
    <row r="354" ht="18.75">
      <c r="AQ354" s="9"/>
    </row>
    <row r="355" ht="18.75">
      <c r="AQ355" s="9"/>
    </row>
    <row r="356" ht="18.75">
      <c r="AQ356" s="9"/>
    </row>
    <row r="357" ht="18.75">
      <c r="AQ357" s="9"/>
    </row>
    <row r="358" ht="18.75">
      <c r="AQ358" s="9"/>
    </row>
    <row r="359" ht="18.75">
      <c r="AQ359" s="9"/>
    </row>
    <row r="360" ht="18.75">
      <c r="AQ360" s="9"/>
    </row>
    <row r="361" ht="18.75">
      <c r="AQ361" s="9"/>
    </row>
    <row r="362" ht="18.75">
      <c r="AQ362" s="9"/>
    </row>
    <row r="363" ht="18.75">
      <c r="AQ363" s="9"/>
    </row>
    <row r="364" ht="18.75">
      <c r="AQ364" s="9"/>
    </row>
    <row r="365" ht="18.75">
      <c r="AQ365" s="9"/>
    </row>
    <row r="366" ht="18.75">
      <c r="AQ366" s="9"/>
    </row>
    <row r="367" ht="18.75">
      <c r="AQ367" s="9"/>
    </row>
    <row r="368" ht="18.75">
      <c r="AQ368" s="9"/>
    </row>
    <row r="369" ht="18.75">
      <c r="AQ369" s="9"/>
    </row>
    <row r="370" ht="18.75">
      <c r="AQ370" s="9"/>
    </row>
    <row r="371" ht="18.75">
      <c r="AQ371" s="9"/>
    </row>
    <row r="372" ht="18.75">
      <c r="AQ372" s="9"/>
    </row>
    <row r="373" ht="18.75">
      <c r="AQ373" s="9"/>
    </row>
    <row r="374" ht="18.75">
      <c r="AQ374" s="9"/>
    </row>
    <row r="375" ht="18.75">
      <c r="AQ375" s="9"/>
    </row>
    <row r="376" ht="18.75">
      <c r="AQ376" s="9"/>
    </row>
    <row r="377" ht="18.75">
      <c r="AQ377" s="9"/>
    </row>
    <row r="378" ht="18.75">
      <c r="AQ378" s="9"/>
    </row>
    <row r="379" ht="18.75">
      <c r="AQ379" s="9"/>
    </row>
    <row r="380" ht="18.75">
      <c r="AQ380" s="9"/>
    </row>
    <row r="381" ht="18.75">
      <c r="AQ381" s="9"/>
    </row>
    <row r="382" ht="18.75">
      <c r="AQ382" s="9"/>
    </row>
    <row r="383" ht="18.75">
      <c r="AQ383" s="9"/>
    </row>
    <row r="384" ht="18.75">
      <c r="AQ384" s="9"/>
    </row>
    <row r="385" ht="18.75">
      <c r="AQ385" s="9"/>
    </row>
    <row r="386" ht="18.75">
      <c r="AQ386" s="9"/>
    </row>
    <row r="387" ht="18.75">
      <c r="AQ387" s="9"/>
    </row>
    <row r="388" ht="18.75">
      <c r="AQ388" s="9"/>
    </row>
    <row r="389" ht="18.75">
      <c r="AQ389" s="9"/>
    </row>
    <row r="390" ht="18.75">
      <c r="AQ390" s="9"/>
    </row>
    <row r="391" ht="18.75">
      <c r="AQ391" s="9"/>
    </row>
    <row r="392" ht="18.75">
      <c r="AQ392" s="9"/>
    </row>
    <row r="393" ht="18.75">
      <c r="AQ393" s="9"/>
    </row>
    <row r="394" ht="18.75">
      <c r="AQ394" s="9"/>
    </row>
    <row r="395" ht="18.75">
      <c r="AQ395" s="9"/>
    </row>
    <row r="396" ht="18.75">
      <c r="AQ396" s="9"/>
    </row>
    <row r="397" ht="18.75">
      <c r="AQ397" s="9"/>
    </row>
    <row r="398" ht="18.75">
      <c r="AQ398" s="9"/>
    </row>
    <row r="399" ht="18.75">
      <c r="AQ399" s="9"/>
    </row>
    <row r="400" ht="18.75">
      <c r="AQ400" s="9"/>
    </row>
    <row r="401" ht="18.75">
      <c r="AQ401" s="9"/>
    </row>
    <row r="402" ht="18.75">
      <c r="AQ402" s="9"/>
    </row>
    <row r="403" ht="18.75">
      <c r="AQ403" s="9"/>
    </row>
    <row r="404" ht="18.75">
      <c r="AQ404" s="9"/>
    </row>
    <row r="405" ht="18.75">
      <c r="AQ405" s="9"/>
    </row>
    <row r="406" ht="18.75">
      <c r="AQ406" s="9"/>
    </row>
    <row r="407" ht="18.75">
      <c r="AQ407" s="9"/>
    </row>
    <row r="408" ht="18.75">
      <c r="AQ408" s="9"/>
    </row>
    <row r="409" ht="18.75">
      <c r="AQ409" s="9"/>
    </row>
    <row r="410" ht="18.75">
      <c r="AQ410" s="9"/>
    </row>
    <row r="411" ht="18.75">
      <c r="AQ411" s="9"/>
    </row>
    <row r="412" ht="18.75">
      <c r="AQ412" s="9"/>
    </row>
  </sheetData>
  <sheetProtection/>
  <mergeCells count="98">
    <mergeCell ref="A2:AQ2"/>
    <mergeCell ref="A3:AQ3"/>
    <mergeCell ref="A4:A7"/>
    <mergeCell ref="B4:B7"/>
    <mergeCell ref="C4:C7"/>
    <mergeCell ref="D4:D7"/>
    <mergeCell ref="E4:E7"/>
    <mergeCell ref="F4:J4"/>
    <mergeCell ref="K4:N4"/>
    <mergeCell ref="O4:R4"/>
    <mergeCell ref="S4:V4"/>
    <mergeCell ref="W4:Z4"/>
    <mergeCell ref="R6:R7"/>
    <mergeCell ref="T6:T7"/>
    <mergeCell ref="T5:V5"/>
    <mergeCell ref="W5:W7"/>
    <mergeCell ref="U6:U7"/>
    <mergeCell ref="V6:V7"/>
    <mergeCell ref="AF5:AH5"/>
    <mergeCell ref="P5:R5"/>
    <mergeCell ref="S5:S7"/>
    <mergeCell ref="Y6:Y7"/>
    <mergeCell ref="Z6:Z7"/>
    <mergeCell ref="X5:Z5"/>
    <mergeCell ref="AA5:AA7"/>
    <mergeCell ref="X6:X7"/>
    <mergeCell ref="AQ4:AQ7"/>
    <mergeCell ref="F5:F7"/>
    <mergeCell ref="G5:J5"/>
    <mergeCell ref="K5:K7"/>
    <mergeCell ref="L5:N5"/>
    <mergeCell ref="O5:O7"/>
    <mergeCell ref="AM5:AM7"/>
    <mergeCell ref="AK6:AK7"/>
    <mergeCell ref="AA4:AD4"/>
    <mergeCell ref="AB6:AB7"/>
    <mergeCell ref="AL6:AL7"/>
    <mergeCell ref="AH6:AH7"/>
    <mergeCell ref="AJ6:AJ7"/>
    <mergeCell ref="AI4:AL4"/>
    <mergeCell ref="AE4:AH4"/>
    <mergeCell ref="AN5:AP5"/>
    <mergeCell ref="AO6:AO7"/>
    <mergeCell ref="AE5:AE7"/>
    <mergeCell ref="AJ5:AL5"/>
    <mergeCell ref="AM4:AP4"/>
    <mergeCell ref="G6:G7"/>
    <mergeCell ref="H6:J6"/>
    <mergeCell ref="L6:L7"/>
    <mergeCell ref="M6:M7"/>
    <mergeCell ref="N6:N7"/>
    <mergeCell ref="AN6:AN7"/>
    <mergeCell ref="AI5:AI7"/>
    <mergeCell ref="AB5:AD5"/>
    <mergeCell ref="P6:P7"/>
    <mergeCell ref="Q6:Q7"/>
    <mergeCell ref="B41:AQ41"/>
    <mergeCell ref="B42:AQ42"/>
    <mergeCell ref="B43:AQ43"/>
    <mergeCell ref="B44:AQ44"/>
    <mergeCell ref="AP6:AP7"/>
    <mergeCell ref="B40:V40"/>
    <mergeCell ref="AC6:AC7"/>
    <mergeCell ref="AD6:AD7"/>
    <mergeCell ref="AF6:AF7"/>
    <mergeCell ref="AG6:AG7"/>
    <mergeCell ref="B49:AQ49"/>
    <mergeCell ref="B50:AQ50"/>
    <mergeCell ref="B51:AQ51"/>
    <mergeCell ref="B52:AQ52"/>
    <mergeCell ref="B45:AQ45"/>
    <mergeCell ref="B46:AQ46"/>
    <mergeCell ref="B47:AQ47"/>
    <mergeCell ref="B48:AQ48"/>
    <mergeCell ref="B57:AQ57"/>
    <mergeCell ref="B58:AQ58"/>
    <mergeCell ref="B59:AQ59"/>
    <mergeCell ref="B60:AQ60"/>
    <mergeCell ref="B53:AQ53"/>
    <mergeCell ref="B54:AQ54"/>
    <mergeCell ref="B55:AQ55"/>
    <mergeCell ref="B56:AQ56"/>
    <mergeCell ref="B65:AQ65"/>
    <mergeCell ref="B66:AQ66"/>
    <mergeCell ref="B67:AQ67"/>
    <mergeCell ref="B68:AQ68"/>
    <mergeCell ref="B61:AQ61"/>
    <mergeCell ref="B62:AQ62"/>
    <mergeCell ref="B63:AQ63"/>
    <mergeCell ref="B64:AQ64"/>
    <mergeCell ref="B73:AQ73"/>
    <mergeCell ref="B74:AQ74"/>
    <mergeCell ref="B75:AQ75"/>
    <mergeCell ref="B76:V76"/>
    <mergeCell ref="B69:AQ69"/>
    <mergeCell ref="B70:AQ70"/>
    <mergeCell ref="B71:AQ71"/>
    <mergeCell ref="B72:AQ7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89" customWidth="1"/>
    <col min="2" max="2" width="18.625" style="90" customWidth="1"/>
    <col min="3" max="3" width="5.25390625" style="91" customWidth="1"/>
    <col min="4" max="4" width="5.375" style="91" customWidth="1"/>
    <col min="5" max="5" width="5.25390625" style="91" customWidth="1"/>
    <col min="6" max="6" width="5.875" style="91" customWidth="1"/>
    <col min="7" max="17" width="5.875" style="85" customWidth="1"/>
    <col min="18" max="18" width="6.00390625" style="85" customWidth="1"/>
    <col min="19" max="20" width="5.875" style="85" customWidth="1"/>
    <col min="21" max="21" width="7.125" style="85" customWidth="1"/>
    <col min="22" max="27" width="5.875" style="85" customWidth="1"/>
    <col min="28" max="28" width="6.50390625" style="85" customWidth="1"/>
    <col min="29" max="29" width="5.875" style="85" customWidth="1"/>
    <col min="30" max="30" width="7.50390625" style="85" customWidth="1"/>
    <col min="31" max="16384" width="9.00390625" style="53" customWidth="1"/>
  </cols>
  <sheetData>
    <row r="1" spans="1:42" ht="20.25">
      <c r="A1" s="96" t="s">
        <v>1103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84" t="s">
        <v>1180</v>
      </c>
      <c r="AE1" s="92"/>
      <c r="AF1" s="46"/>
      <c r="AG1" s="46"/>
      <c r="AH1" s="46"/>
      <c r="AI1" s="46"/>
      <c r="AJ1" s="46"/>
      <c r="AK1" s="46"/>
      <c r="AL1" s="46"/>
      <c r="AM1" s="46"/>
      <c r="AN1" s="46"/>
      <c r="AO1" s="46"/>
      <c r="AP1" s="46"/>
    </row>
    <row r="2" spans="1:30" s="54" customFormat="1" ht="15.75">
      <c r="A2" s="898" t="s">
        <v>1220</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row>
    <row r="3" spans="1:30" s="55" customFormat="1" ht="15.75">
      <c r="A3" s="98"/>
      <c r="B3" s="98"/>
      <c r="C3" s="98"/>
      <c r="D3" s="98"/>
      <c r="E3" s="98"/>
      <c r="F3" s="98"/>
      <c r="G3" s="98"/>
      <c r="H3" s="98"/>
      <c r="I3" s="98"/>
      <c r="J3" s="98"/>
      <c r="K3" s="98"/>
      <c r="L3" s="98"/>
      <c r="M3" s="98"/>
      <c r="N3" s="98"/>
      <c r="O3" s="98"/>
      <c r="P3" s="98"/>
      <c r="Q3" s="98"/>
      <c r="R3" s="98"/>
      <c r="S3" s="98"/>
      <c r="T3" s="98"/>
      <c r="U3" s="98"/>
      <c r="V3" s="98"/>
      <c r="W3" s="98"/>
      <c r="X3" s="98"/>
      <c r="Y3" s="98"/>
      <c r="Z3" s="98"/>
      <c r="AA3" s="899" t="s">
        <v>1090</v>
      </c>
      <c r="AB3" s="899"/>
      <c r="AC3" s="899"/>
      <c r="AD3" s="899"/>
    </row>
    <row r="4" spans="1:30" s="55" customFormat="1" ht="35.25" customHeight="1">
      <c r="A4" s="897" t="s">
        <v>1035</v>
      </c>
      <c r="B4" s="897" t="s">
        <v>1181</v>
      </c>
      <c r="C4" s="897" t="s">
        <v>1143</v>
      </c>
      <c r="D4" s="897" t="s">
        <v>1144</v>
      </c>
      <c r="E4" s="897" t="s">
        <v>1145</v>
      </c>
      <c r="F4" s="889" t="s">
        <v>1146</v>
      </c>
      <c r="G4" s="889"/>
      <c r="H4" s="889"/>
      <c r="I4" s="889" t="s">
        <v>1182</v>
      </c>
      <c r="J4" s="889"/>
      <c r="K4" s="889"/>
      <c r="L4" s="889" t="s">
        <v>1204</v>
      </c>
      <c r="M4" s="889"/>
      <c r="N4" s="897" t="s">
        <v>1205</v>
      </c>
      <c r="O4" s="897"/>
      <c r="P4" s="897" t="s">
        <v>1206</v>
      </c>
      <c r="Q4" s="897"/>
      <c r="R4" s="897" t="s">
        <v>1197</v>
      </c>
      <c r="S4" s="897"/>
      <c r="T4" s="897" t="s">
        <v>1214</v>
      </c>
      <c r="U4" s="897"/>
      <c r="V4" s="897"/>
      <c r="W4" s="897"/>
      <c r="X4" s="897" t="s">
        <v>1219</v>
      </c>
      <c r="Y4" s="897"/>
      <c r="Z4" s="897"/>
      <c r="AA4" s="897"/>
      <c r="AB4" s="897" t="s">
        <v>1221</v>
      </c>
      <c r="AC4" s="897"/>
      <c r="AD4" s="897" t="s">
        <v>1102</v>
      </c>
    </row>
    <row r="5" spans="1:30" s="56" customFormat="1" ht="67.5" customHeight="1">
      <c r="A5" s="897"/>
      <c r="B5" s="897"/>
      <c r="C5" s="897"/>
      <c r="D5" s="897"/>
      <c r="E5" s="897"/>
      <c r="F5" s="889"/>
      <c r="G5" s="889"/>
      <c r="H5" s="889"/>
      <c r="I5" s="889"/>
      <c r="J5" s="889"/>
      <c r="K5" s="889"/>
      <c r="L5" s="889"/>
      <c r="M5" s="889"/>
      <c r="N5" s="897"/>
      <c r="O5" s="897"/>
      <c r="P5" s="897"/>
      <c r="Q5" s="897"/>
      <c r="R5" s="897"/>
      <c r="S5" s="897"/>
      <c r="T5" s="897" t="s">
        <v>1215</v>
      </c>
      <c r="U5" s="897"/>
      <c r="V5" s="897" t="s">
        <v>1216</v>
      </c>
      <c r="W5" s="897"/>
      <c r="X5" s="897" t="s">
        <v>1217</v>
      </c>
      <c r="Y5" s="897"/>
      <c r="Z5" s="897" t="s">
        <v>1218</v>
      </c>
      <c r="AA5" s="897"/>
      <c r="AB5" s="897"/>
      <c r="AC5" s="897"/>
      <c r="AD5" s="897"/>
    </row>
    <row r="6" spans="1:30" s="56" customFormat="1" ht="30" customHeight="1">
      <c r="A6" s="897"/>
      <c r="B6" s="897"/>
      <c r="C6" s="897"/>
      <c r="D6" s="897"/>
      <c r="E6" s="897"/>
      <c r="F6" s="889" t="s">
        <v>1149</v>
      </c>
      <c r="G6" s="889" t="s">
        <v>1150</v>
      </c>
      <c r="H6" s="889" t="s">
        <v>1183</v>
      </c>
      <c r="I6" s="889" t="s">
        <v>1149</v>
      </c>
      <c r="J6" s="889" t="s">
        <v>1150</v>
      </c>
      <c r="K6" s="889" t="s">
        <v>1183</v>
      </c>
      <c r="L6" s="889" t="s">
        <v>1085</v>
      </c>
      <c r="M6" s="889" t="s">
        <v>1184</v>
      </c>
      <c r="N6" s="889" t="s">
        <v>1085</v>
      </c>
      <c r="O6" s="889" t="s">
        <v>1184</v>
      </c>
      <c r="P6" s="889" t="s">
        <v>1085</v>
      </c>
      <c r="Q6" s="889" t="s">
        <v>1184</v>
      </c>
      <c r="R6" s="889" t="s">
        <v>1085</v>
      </c>
      <c r="S6" s="889" t="s">
        <v>1184</v>
      </c>
      <c r="T6" s="889" t="s">
        <v>1085</v>
      </c>
      <c r="U6" s="889" t="s">
        <v>1184</v>
      </c>
      <c r="V6" s="889" t="s">
        <v>1085</v>
      </c>
      <c r="W6" s="889" t="s">
        <v>1184</v>
      </c>
      <c r="X6" s="889" t="s">
        <v>1085</v>
      </c>
      <c r="Y6" s="889" t="s">
        <v>1184</v>
      </c>
      <c r="Z6" s="889" t="s">
        <v>1085</v>
      </c>
      <c r="AA6" s="889" t="s">
        <v>1184</v>
      </c>
      <c r="AB6" s="889" t="s">
        <v>1085</v>
      </c>
      <c r="AC6" s="889" t="s">
        <v>1184</v>
      </c>
      <c r="AD6" s="897"/>
    </row>
    <row r="7" spans="1:30" s="56" customFormat="1" ht="69" customHeight="1">
      <c r="A7" s="897"/>
      <c r="B7" s="897"/>
      <c r="C7" s="897"/>
      <c r="D7" s="897"/>
      <c r="E7" s="897"/>
      <c r="F7" s="889"/>
      <c r="G7" s="889"/>
      <c r="H7" s="889"/>
      <c r="I7" s="889"/>
      <c r="J7" s="889"/>
      <c r="K7" s="889"/>
      <c r="L7" s="889"/>
      <c r="M7" s="889"/>
      <c r="N7" s="889"/>
      <c r="O7" s="889"/>
      <c r="P7" s="889"/>
      <c r="Q7" s="889"/>
      <c r="R7" s="889"/>
      <c r="S7" s="889"/>
      <c r="T7" s="889"/>
      <c r="U7" s="889"/>
      <c r="V7" s="889"/>
      <c r="W7" s="889"/>
      <c r="X7" s="889"/>
      <c r="Y7" s="889"/>
      <c r="Z7" s="889"/>
      <c r="AA7" s="889"/>
      <c r="AB7" s="889"/>
      <c r="AC7" s="889"/>
      <c r="AD7" s="897"/>
    </row>
    <row r="8" spans="1:30" s="57" customFormat="1" ht="30.75" customHeight="1">
      <c r="A8" s="99">
        <v>1</v>
      </c>
      <c r="B8" s="99">
        <v>2</v>
      </c>
      <c r="C8" s="99">
        <v>3</v>
      </c>
      <c r="D8" s="99">
        <v>4</v>
      </c>
      <c r="E8" s="99">
        <v>5</v>
      </c>
      <c r="F8" s="99">
        <v>6</v>
      </c>
      <c r="G8" s="99">
        <v>7</v>
      </c>
      <c r="H8" s="99">
        <v>8</v>
      </c>
      <c r="I8" s="99">
        <v>9</v>
      </c>
      <c r="J8" s="99">
        <v>10</v>
      </c>
      <c r="K8" s="99">
        <v>11</v>
      </c>
      <c r="L8" s="99">
        <v>12</v>
      </c>
      <c r="M8" s="99">
        <v>13</v>
      </c>
      <c r="N8" s="99">
        <v>14</v>
      </c>
      <c r="O8" s="99">
        <v>15</v>
      </c>
      <c r="P8" s="99">
        <v>16</v>
      </c>
      <c r="Q8" s="99">
        <v>17</v>
      </c>
      <c r="R8" s="99">
        <v>18</v>
      </c>
      <c r="S8" s="99">
        <v>19</v>
      </c>
      <c r="T8" s="99">
        <v>20</v>
      </c>
      <c r="U8" s="99">
        <v>21</v>
      </c>
      <c r="V8" s="99">
        <v>22</v>
      </c>
      <c r="W8" s="99">
        <v>23</v>
      </c>
      <c r="X8" s="99">
        <v>24</v>
      </c>
      <c r="Y8" s="99">
        <v>25</v>
      </c>
      <c r="Z8" s="99">
        <v>26</v>
      </c>
      <c r="AA8" s="99">
        <v>27</v>
      </c>
      <c r="AB8" s="99">
        <v>28</v>
      </c>
      <c r="AC8" s="99">
        <v>29</v>
      </c>
      <c r="AD8" s="99">
        <v>30</v>
      </c>
    </row>
    <row r="9" spans="1:30" ht="32.25" customHeight="1">
      <c r="A9" s="58"/>
      <c r="B9" s="100" t="s">
        <v>1078</v>
      </c>
      <c r="C9" s="59"/>
      <c r="D9" s="59"/>
      <c r="E9" s="59"/>
      <c r="F9" s="59"/>
      <c r="G9" s="60"/>
      <c r="H9" s="60"/>
      <c r="I9" s="60"/>
      <c r="J9" s="60"/>
      <c r="K9" s="60"/>
      <c r="L9" s="60"/>
      <c r="M9" s="60"/>
      <c r="N9" s="60"/>
      <c r="O9" s="60"/>
      <c r="P9" s="60"/>
      <c r="Q9" s="60"/>
      <c r="R9" s="60"/>
      <c r="S9" s="60"/>
      <c r="T9" s="60"/>
      <c r="U9" s="60"/>
      <c r="V9" s="60"/>
      <c r="W9" s="60"/>
      <c r="X9" s="60"/>
      <c r="Y9" s="60"/>
      <c r="Z9" s="60"/>
      <c r="AA9" s="60"/>
      <c r="AB9" s="60"/>
      <c r="AC9" s="60"/>
      <c r="AD9" s="60"/>
    </row>
    <row r="10" spans="1:30" s="65" customFormat="1" ht="36" customHeight="1">
      <c r="A10" s="61" t="s">
        <v>1077</v>
      </c>
      <c r="B10" s="62" t="s">
        <v>1185</v>
      </c>
      <c r="C10" s="63"/>
      <c r="D10" s="63"/>
      <c r="E10" s="63"/>
      <c r="F10" s="63"/>
      <c r="G10" s="64"/>
      <c r="H10" s="64"/>
      <c r="I10" s="64"/>
      <c r="J10" s="64"/>
      <c r="K10" s="64"/>
      <c r="L10" s="64"/>
      <c r="M10" s="64"/>
      <c r="N10" s="64"/>
      <c r="O10" s="64"/>
      <c r="P10" s="64"/>
      <c r="Q10" s="64"/>
      <c r="R10" s="64"/>
      <c r="S10" s="64"/>
      <c r="T10" s="64"/>
      <c r="U10" s="64"/>
      <c r="V10" s="64"/>
      <c r="W10" s="64"/>
      <c r="X10" s="64"/>
      <c r="Y10" s="64"/>
      <c r="Z10" s="64"/>
      <c r="AA10" s="64"/>
      <c r="AB10" s="64"/>
      <c r="AC10" s="64"/>
      <c r="AD10" s="64"/>
    </row>
    <row r="11" spans="1:30" ht="24.75" customHeight="1">
      <c r="A11" s="66">
        <v>1</v>
      </c>
      <c r="B11" s="67" t="s">
        <v>1159</v>
      </c>
      <c r="C11" s="68"/>
      <c r="D11" s="68"/>
      <c r="E11" s="68"/>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row>
    <row r="12" spans="1:30" ht="24.75" customHeight="1">
      <c r="A12" s="66">
        <v>2</v>
      </c>
      <c r="B12" s="67" t="s">
        <v>1159</v>
      </c>
      <c r="C12" s="68"/>
      <c r="D12" s="68"/>
      <c r="E12" s="68"/>
      <c r="F12" s="68"/>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24.75" customHeight="1">
      <c r="A13" s="66"/>
      <c r="B13" s="70" t="s">
        <v>1160</v>
      </c>
      <c r="C13" s="68"/>
      <c r="D13" s="68"/>
      <c r="E13" s="68"/>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row>
    <row r="14" spans="1:30" s="65" customFormat="1" ht="33.75" customHeight="1">
      <c r="A14" s="61" t="s">
        <v>1080</v>
      </c>
      <c r="B14" s="71" t="s">
        <v>1186</v>
      </c>
      <c r="C14" s="63"/>
      <c r="D14" s="63"/>
      <c r="E14" s="63"/>
      <c r="F14" s="63"/>
      <c r="G14" s="64"/>
      <c r="H14" s="64"/>
      <c r="I14" s="64"/>
      <c r="J14" s="64"/>
      <c r="K14" s="64"/>
      <c r="L14" s="64"/>
      <c r="M14" s="64"/>
      <c r="N14" s="64"/>
      <c r="O14" s="64"/>
      <c r="P14" s="64"/>
      <c r="Q14" s="64"/>
      <c r="R14" s="64"/>
      <c r="S14" s="64"/>
      <c r="T14" s="64"/>
      <c r="U14" s="64"/>
      <c r="V14" s="64"/>
      <c r="W14" s="64"/>
      <c r="X14" s="64"/>
      <c r="Y14" s="64"/>
      <c r="Z14" s="64"/>
      <c r="AA14" s="64"/>
      <c r="AB14" s="64"/>
      <c r="AC14" s="64"/>
      <c r="AD14" s="64"/>
    </row>
    <row r="15" spans="1:30" ht="24.75" customHeight="1">
      <c r="A15" s="66">
        <v>1</v>
      </c>
      <c r="B15" s="67" t="s">
        <v>1159</v>
      </c>
      <c r="C15" s="68"/>
      <c r="D15" s="68"/>
      <c r="E15" s="68"/>
      <c r="F15" s="68"/>
      <c r="G15" s="69"/>
      <c r="H15" s="69"/>
      <c r="I15" s="69"/>
      <c r="J15" s="69"/>
      <c r="K15" s="69"/>
      <c r="L15" s="69"/>
      <c r="M15" s="69"/>
      <c r="N15" s="69"/>
      <c r="O15" s="69"/>
      <c r="P15" s="69"/>
      <c r="Q15" s="69"/>
      <c r="R15" s="69"/>
      <c r="S15" s="69"/>
      <c r="T15" s="69"/>
      <c r="U15" s="69"/>
      <c r="V15" s="69"/>
      <c r="W15" s="69"/>
      <c r="X15" s="69"/>
      <c r="Y15" s="69"/>
      <c r="Z15" s="69"/>
      <c r="AA15" s="69"/>
      <c r="AB15" s="69"/>
      <c r="AC15" s="69"/>
      <c r="AD15" s="69"/>
    </row>
    <row r="16" spans="1:30" ht="24.75" customHeight="1">
      <c r="A16" s="66">
        <v>2</v>
      </c>
      <c r="B16" s="67" t="s">
        <v>1159</v>
      </c>
      <c r="C16" s="68"/>
      <c r="D16" s="68"/>
      <c r="E16" s="68"/>
      <c r="F16" s="68"/>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ht="24.75" customHeight="1">
      <c r="A17" s="66"/>
      <c r="B17" s="70" t="s">
        <v>1160</v>
      </c>
      <c r="C17" s="68"/>
      <c r="D17" s="68"/>
      <c r="E17" s="68"/>
      <c r="F17" s="68"/>
      <c r="G17" s="69"/>
      <c r="H17" s="69"/>
      <c r="I17" s="69"/>
      <c r="J17" s="69"/>
      <c r="K17" s="69"/>
      <c r="L17" s="69"/>
      <c r="M17" s="69"/>
      <c r="N17" s="69"/>
      <c r="O17" s="69"/>
      <c r="P17" s="69"/>
      <c r="Q17" s="69"/>
      <c r="R17" s="69"/>
      <c r="S17" s="69"/>
      <c r="T17" s="69"/>
      <c r="U17" s="69"/>
      <c r="V17" s="69"/>
      <c r="W17" s="69"/>
      <c r="X17" s="69"/>
      <c r="Y17" s="69"/>
      <c r="Z17" s="69"/>
      <c r="AA17" s="69"/>
      <c r="AB17" s="69"/>
      <c r="AC17" s="69"/>
      <c r="AD17" s="69"/>
    </row>
    <row r="18" spans="1:30" ht="0.75" customHeight="1">
      <c r="A18" s="72"/>
      <c r="B18" s="73"/>
      <c r="C18" s="74"/>
      <c r="D18" s="74"/>
      <c r="E18" s="74"/>
      <c r="F18" s="74"/>
      <c r="G18" s="75"/>
      <c r="H18" s="75"/>
      <c r="I18" s="75"/>
      <c r="J18" s="75"/>
      <c r="K18" s="75"/>
      <c r="L18" s="75"/>
      <c r="M18" s="75"/>
      <c r="N18" s="75"/>
      <c r="O18" s="75"/>
      <c r="P18" s="75"/>
      <c r="Q18" s="75"/>
      <c r="R18" s="75"/>
      <c r="S18" s="75"/>
      <c r="T18" s="75"/>
      <c r="U18" s="75"/>
      <c r="V18" s="75"/>
      <c r="W18" s="75"/>
      <c r="X18" s="75"/>
      <c r="Y18" s="75"/>
      <c r="Z18" s="75"/>
      <c r="AA18" s="75"/>
      <c r="AB18" s="75"/>
      <c r="AC18" s="75"/>
      <c r="AD18" s="76"/>
    </row>
    <row r="19" spans="1:30" ht="0.75" customHeight="1">
      <c r="A19" s="77"/>
      <c r="B19" s="78"/>
      <c r="C19" s="79"/>
      <c r="D19" s="79"/>
      <c r="E19" s="79"/>
      <c r="F19" s="79"/>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1:30" ht="0.75" customHeight="1">
      <c r="A20" s="77"/>
      <c r="B20" s="78"/>
      <c r="C20" s="79"/>
      <c r="D20" s="79"/>
      <c r="E20" s="79"/>
      <c r="F20" s="79"/>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1:30" ht="0.75" customHeight="1">
      <c r="A21" s="77"/>
      <c r="B21" s="78"/>
      <c r="C21" s="79"/>
      <c r="D21" s="79"/>
      <c r="E21" s="79"/>
      <c r="F21" s="79"/>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1:30" ht="0.75" customHeight="1">
      <c r="A22" s="77"/>
      <c r="B22" s="78"/>
      <c r="C22" s="79"/>
      <c r="D22" s="79"/>
      <c r="E22" s="79"/>
      <c r="F22" s="79"/>
      <c r="G22" s="80"/>
      <c r="H22" s="80"/>
      <c r="I22" s="80"/>
      <c r="J22" s="80"/>
      <c r="K22" s="80"/>
      <c r="L22" s="80"/>
      <c r="M22" s="80"/>
      <c r="N22" s="80"/>
      <c r="O22" s="80"/>
      <c r="P22" s="80"/>
      <c r="Q22" s="80"/>
      <c r="R22" s="80"/>
      <c r="S22" s="80"/>
      <c r="T22" s="80"/>
      <c r="U22" s="80"/>
      <c r="V22" s="80"/>
      <c r="W22" s="80"/>
      <c r="X22" s="80"/>
      <c r="Y22" s="80"/>
      <c r="Z22" s="80"/>
      <c r="AA22" s="80"/>
      <c r="AB22" s="80"/>
      <c r="AC22" s="80"/>
      <c r="AD22" s="81"/>
    </row>
    <row r="23" spans="1:30" ht="0.75" customHeight="1">
      <c r="A23" s="77"/>
      <c r="B23" s="78"/>
      <c r="C23" s="79"/>
      <c r="D23" s="79"/>
      <c r="E23" s="79"/>
      <c r="F23" s="79"/>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1:30" ht="0.75" customHeight="1">
      <c r="A24" s="77"/>
      <c r="B24" s="78"/>
      <c r="C24" s="79"/>
      <c r="D24" s="79"/>
      <c r="E24" s="79"/>
      <c r="F24" s="79"/>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1:30" ht="0.75" customHeight="1">
      <c r="A25" s="77"/>
      <c r="B25" s="78"/>
      <c r="C25" s="79"/>
      <c r="D25" s="79"/>
      <c r="E25" s="79"/>
      <c r="F25" s="79"/>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1:30" ht="0.75" customHeight="1">
      <c r="A26" s="77"/>
      <c r="B26" s="78"/>
      <c r="C26" s="79"/>
      <c r="D26" s="79"/>
      <c r="E26" s="79"/>
      <c r="F26" s="79"/>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1:30" ht="0.75" customHeight="1">
      <c r="A27" s="77"/>
      <c r="B27" s="78"/>
      <c r="C27" s="79"/>
      <c r="D27" s="79"/>
      <c r="E27" s="79"/>
      <c r="F27" s="79"/>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1:30" ht="0.75" customHeight="1">
      <c r="A28" s="77"/>
      <c r="B28" s="78"/>
      <c r="C28" s="79"/>
      <c r="D28" s="79"/>
      <c r="E28" s="79"/>
      <c r="F28" s="79"/>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1:30" ht="0.75" customHeight="1">
      <c r="A29" s="77"/>
      <c r="B29" s="78"/>
      <c r="C29" s="79"/>
      <c r="D29" s="79"/>
      <c r="E29" s="79"/>
      <c r="F29" s="79"/>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1:30" ht="0.75" customHeight="1">
      <c r="A30" s="77"/>
      <c r="B30" s="78"/>
      <c r="C30" s="79"/>
      <c r="D30" s="79"/>
      <c r="E30" s="79"/>
      <c r="F30" s="79"/>
      <c r="G30" s="80"/>
      <c r="H30" s="80"/>
      <c r="I30" s="80"/>
      <c r="J30" s="80"/>
      <c r="K30" s="80"/>
      <c r="L30" s="80"/>
      <c r="M30" s="80"/>
      <c r="N30" s="80"/>
      <c r="O30" s="80"/>
      <c r="P30" s="80"/>
      <c r="Q30" s="80"/>
      <c r="R30" s="80"/>
      <c r="S30" s="80"/>
      <c r="T30" s="80"/>
      <c r="U30" s="80"/>
      <c r="V30" s="80"/>
      <c r="W30" s="80"/>
      <c r="X30" s="80"/>
      <c r="Y30" s="80"/>
      <c r="Z30" s="80"/>
      <c r="AA30" s="80"/>
      <c r="AB30" s="80"/>
      <c r="AC30" s="80"/>
      <c r="AD30" s="81"/>
    </row>
    <row r="31" spans="1:29" ht="24" customHeight="1">
      <c r="A31" s="82"/>
      <c r="B31" s="896" t="s">
        <v>1140</v>
      </c>
      <c r="C31" s="896"/>
      <c r="D31" s="896"/>
      <c r="E31" s="896"/>
      <c r="F31" s="896"/>
      <c r="G31" s="896"/>
      <c r="H31" s="896"/>
      <c r="I31" s="896"/>
      <c r="J31" s="896"/>
      <c r="K31" s="896"/>
      <c r="L31" s="896"/>
      <c r="M31" s="896"/>
      <c r="N31" s="896"/>
      <c r="O31" s="896"/>
      <c r="P31" s="896"/>
      <c r="Q31" s="896"/>
      <c r="R31" s="896"/>
      <c r="S31" s="896"/>
      <c r="T31" s="83"/>
      <c r="U31" s="83"/>
      <c r="V31" s="83"/>
      <c r="W31" s="83"/>
      <c r="X31" s="83"/>
      <c r="Y31" s="83"/>
      <c r="Z31" s="83"/>
      <c r="AA31" s="83"/>
      <c r="AB31" s="84"/>
      <c r="AC31" s="84"/>
    </row>
    <row r="32" spans="1:25" s="54" customFormat="1" ht="26.25" customHeight="1">
      <c r="A32" s="82"/>
      <c r="B32" s="894" t="s">
        <v>1166</v>
      </c>
      <c r="C32" s="895"/>
      <c r="D32" s="895"/>
      <c r="E32" s="895"/>
      <c r="F32" s="895"/>
      <c r="G32" s="895"/>
      <c r="H32" s="895"/>
      <c r="I32" s="895"/>
      <c r="J32" s="895"/>
      <c r="K32" s="895"/>
      <c r="L32" s="895"/>
      <c r="M32" s="895"/>
      <c r="N32" s="895"/>
      <c r="O32" s="895"/>
      <c r="P32" s="895"/>
      <c r="Q32" s="895"/>
      <c r="R32" s="895"/>
      <c r="S32" s="895"/>
      <c r="T32" s="84"/>
      <c r="U32" s="84"/>
      <c r="X32" s="84"/>
      <c r="Y32" s="84"/>
    </row>
    <row r="33" spans="1:25" s="54" customFormat="1" ht="27.75" customHeight="1">
      <c r="A33" s="82"/>
      <c r="B33" s="894" t="s">
        <v>1187</v>
      </c>
      <c r="C33" s="895"/>
      <c r="D33" s="895"/>
      <c r="E33" s="895"/>
      <c r="F33" s="895"/>
      <c r="G33" s="895"/>
      <c r="H33" s="895"/>
      <c r="I33" s="895"/>
      <c r="J33" s="895"/>
      <c r="K33" s="895"/>
      <c r="L33" s="895"/>
      <c r="M33" s="895"/>
      <c r="N33" s="895"/>
      <c r="O33" s="895"/>
      <c r="P33" s="895"/>
      <c r="Q33" s="895"/>
      <c r="R33" s="895"/>
      <c r="S33" s="895"/>
      <c r="T33" s="84"/>
      <c r="U33" s="84"/>
      <c r="X33" s="84"/>
      <c r="Y33" s="84"/>
    </row>
    <row r="34" spans="1:25" s="54" customFormat="1" ht="28.5" customHeight="1">
      <c r="A34" s="82"/>
      <c r="B34" s="894" t="s">
        <v>1168</v>
      </c>
      <c r="C34" s="895"/>
      <c r="D34" s="895"/>
      <c r="E34" s="895"/>
      <c r="F34" s="895"/>
      <c r="G34" s="895"/>
      <c r="H34" s="895"/>
      <c r="I34" s="895"/>
      <c r="J34" s="895"/>
      <c r="K34" s="895"/>
      <c r="L34" s="895"/>
      <c r="M34" s="895"/>
      <c r="N34" s="895"/>
      <c r="O34" s="895"/>
      <c r="P34" s="895"/>
      <c r="Q34" s="895"/>
      <c r="R34" s="895"/>
      <c r="S34" s="895"/>
      <c r="T34" s="84"/>
      <c r="U34" s="84"/>
      <c r="X34" s="84"/>
      <c r="Y34" s="84"/>
    </row>
    <row r="35" spans="1:25" s="54" customFormat="1" ht="27.75" customHeight="1">
      <c r="A35" s="82"/>
      <c r="B35" s="894" t="s">
        <v>1188</v>
      </c>
      <c r="C35" s="895"/>
      <c r="D35" s="895"/>
      <c r="E35" s="895"/>
      <c r="F35" s="895"/>
      <c r="G35" s="895"/>
      <c r="H35" s="895"/>
      <c r="I35" s="895"/>
      <c r="J35" s="895"/>
      <c r="K35" s="895"/>
      <c r="L35" s="895"/>
      <c r="M35" s="895"/>
      <c r="N35" s="895"/>
      <c r="O35" s="895"/>
      <c r="P35" s="895"/>
      <c r="Q35" s="895"/>
      <c r="R35" s="895"/>
      <c r="S35" s="895"/>
      <c r="T35" s="84"/>
      <c r="U35" s="84"/>
      <c r="X35" s="84"/>
      <c r="Y35" s="84"/>
    </row>
    <row r="36" spans="1:25" s="54" customFormat="1" ht="24.75" customHeight="1">
      <c r="A36" s="82"/>
      <c r="B36" s="894" t="s">
        <v>1170</v>
      </c>
      <c r="C36" s="895"/>
      <c r="D36" s="895"/>
      <c r="E36" s="895"/>
      <c r="F36" s="895"/>
      <c r="G36" s="895"/>
      <c r="H36" s="895"/>
      <c r="I36" s="895"/>
      <c r="J36" s="895"/>
      <c r="K36" s="895"/>
      <c r="L36" s="895"/>
      <c r="M36" s="895"/>
      <c r="N36" s="895"/>
      <c r="O36" s="895"/>
      <c r="P36" s="895"/>
      <c r="Q36" s="895"/>
      <c r="R36" s="895"/>
      <c r="S36" s="895"/>
      <c r="T36" s="84"/>
      <c r="U36" s="84"/>
      <c r="X36" s="84"/>
      <c r="Y36" s="84"/>
    </row>
    <row r="37" spans="1:25" s="54" customFormat="1" ht="29.25" customHeight="1">
      <c r="A37" s="82"/>
      <c r="B37" s="894" t="s">
        <v>1189</v>
      </c>
      <c r="C37" s="895"/>
      <c r="D37" s="895"/>
      <c r="E37" s="895"/>
      <c r="F37" s="895"/>
      <c r="G37" s="895"/>
      <c r="H37" s="895"/>
      <c r="I37" s="895"/>
      <c r="J37" s="895"/>
      <c r="K37" s="895"/>
      <c r="L37" s="895"/>
      <c r="M37" s="895"/>
      <c r="N37" s="895"/>
      <c r="O37" s="895"/>
      <c r="P37" s="895"/>
      <c r="Q37" s="895"/>
      <c r="R37" s="895"/>
      <c r="S37" s="895"/>
      <c r="T37" s="84"/>
      <c r="U37" s="84"/>
      <c r="X37" s="84"/>
      <c r="Y37" s="84"/>
    </row>
    <row r="38" spans="1:25" s="54" customFormat="1" ht="24" customHeight="1">
      <c r="A38" s="82"/>
      <c r="B38" s="894" t="s">
        <v>1190</v>
      </c>
      <c r="C38" s="895"/>
      <c r="D38" s="895"/>
      <c r="E38" s="895"/>
      <c r="F38" s="895"/>
      <c r="G38" s="895"/>
      <c r="H38" s="895"/>
      <c r="I38" s="895"/>
      <c r="J38" s="895"/>
      <c r="K38" s="895"/>
      <c r="L38" s="895"/>
      <c r="M38" s="895"/>
      <c r="N38" s="895"/>
      <c r="O38" s="895"/>
      <c r="P38" s="895"/>
      <c r="Q38" s="895"/>
      <c r="R38" s="895"/>
      <c r="S38" s="895"/>
      <c r="T38" s="84"/>
      <c r="U38" s="84"/>
      <c r="X38" s="84"/>
      <c r="Y38" s="84"/>
    </row>
    <row r="39" spans="1:25" s="54" customFormat="1" ht="27.75" customHeight="1">
      <c r="A39" s="82"/>
      <c r="B39" s="894" t="s">
        <v>1191</v>
      </c>
      <c r="C39" s="895"/>
      <c r="D39" s="895"/>
      <c r="E39" s="895"/>
      <c r="F39" s="895"/>
      <c r="G39" s="895"/>
      <c r="H39" s="895"/>
      <c r="I39" s="895"/>
      <c r="J39" s="895"/>
      <c r="K39" s="895"/>
      <c r="L39" s="895"/>
      <c r="M39" s="895"/>
      <c r="N39" s="895"/>
      <c r="O39" s="895"/>
      <c r="P39" s="895"/>
      <c r="Q39" s="895"/>
      <c r="R39" s="895"/>
      <c r="S39" s="895"/>
      <c r="T39" s="84"/>
      <c r="U39" s="84"/>
      <c r="X39" s="84"/>
      <c r="Y39" s="84"/>
    </row>
    <row r="40" spans="1:25" s="54" customFormat="1" ht="34.5" customHeight="1">
      <c r="A40" s="82"/>
      <c r="B40" s="894" t="s">
        <v>1192</v>
      </c>
      <c r="C40" s="895"/>
      <c r="D40" s="895"/>
      <c r="E40" s="895"/>
      <c r="F40" s="895"/>
      <c r="G40" s="895"/>
      <c r="H40" s="895"/>
      <c r="I40" s="895"/>
      <c r="J40" s="895"/>
      <c r="K40" s="895"/>
      <c r="L40" s="895"/>
      <c r="M40" s="895"/>
      <c r="N40" s="895"/>
      <c r="O40" s="895"/>
      <c r="P40" s="895"/>
      <c r="Q40" s="895"/>
      <c r="R40" s="895"/>
      <c r="S40" s="895"/>
      <c r="T40" s="84"/>
      <c r="U40" s="84"/>
      <c r="X40" s="84"/>
      <c r="Y40" s="84"/>
    </row>
    <row r="41" spans="1:25" s="54" customFormat="1" ht="31.5" customHeight="1">
      <c r="A41" s="82"/>
      <c r="B41" s="894" t="s">
        <v>1193</v>
      </c>
      <c r="C41" s="895"/>
      <c r="D41" s="895"/>
      <c r="E41" s="895"/>
      <c r="F41" s="895"/>
      <c r="G41" s="895"/>
      <c r="H41" s="895"/>
      <c r="I41" s="895"/>
      <c r="J41" s="895"/>
      <c r="K41" s="895"/>
      <c r="L41" s="895"/>
      <c r="M41" s="895"/>
      <c r="N41" s="895"/>
      <c r="O41" s="895"/>
      <c r="P41" s="895"/>
      <c r="Q41" s="895"/>
      <c r="R41" s="895"/>
      <c r="S41" s="895"/>
      <c r="T41" s="84"/>
      <c r="U41" s="84"/>
      <c r="X41" s="84"/>
      <c r="Y41" s="84"/>
    </row>
    <row r="42" spans="1:25" s="54" customFormat="1" ht="33.75" customHeight="1">
      <c r="A42" s="82"/>
      <c r="B42" s="894" t="s">
        <v>1194</v>
      </c>
      <c r="C42" s="895"/>
      <c r="D42" s="895"/>
      <c r="E42" s="895"/>
      <c r="F42" s="895"/>
      <c r="G42" s="895"/>
      <c r="H42" s="895"/>
      <c r="I42" s="895"/>
      <c r="J42" s="895"/>
      <c r="K42" s="895"/>
      <c r="L42" s="895"/>
      <c r="M42" s="895"/>
      <c r="N42" s="895"/>
      <c r="O42" s="895"/>
      <c r="P42" s="895"/>
      <c r="Q42" s="895"/>
      <c r="R42" s="895"/>
      <c r="S42" s="895"/>
      <c r="T42" s="84"/>
      <c r="U42" s="84"/>
      <c r="X42" s="84"/>
      <c r="Y42" s="84"/>
    </row>
    <row r="43" spans="1:25" s="54" customFormat="1" ht="39.75" customHeight="1">
      <c r="A43" s="82"/>
      <c r="B43" s="894" t="s">
        <v>96</v>
      </c>
      <c r="C43" s="895"/>
      <c r="D43" s="895"/>
      <c r="E43" s="895"/>
      <c r="F43" s="895"/>
      <c r="G43" s="895"/>
      <c r="H43" s="895"/>
      <c r="I43" s="895"/>
      <c r="J43" s="895"/>
      <c r="K43" s="895"/>
      <c r="L43" s="895"/>
      <c r="M43" s="895"/>
      <c r="N43" s="895"/>
      <c r="O43" s="895"/>
      <c r="P43" s="895"/>
      <c r="Q43" s="895"/>
      <c r="R43" s="895"/>
      <c r="S43" s="895"/>
      <c r="T43" s="84"/>
      <c r="U43" s="84"/>
      <c r="X43" s="84"/>
      <c r="Y43" s="84"/>
    </row>
    <row r="44" spans="1:25" s="54" customFormat="1" ht="37.5" customHeight="1">
      <c r="A44" s="82"/>
      <c r="B44" s="894" t="s">
        <v>97</v>
      </c>
      <c r="C44" s="895"/>
      <c r="D44" s="895"/>
      <c r="E44" s="895"/>
      <c r="F44" s="895"/>
      <c r="G44" s="895"/>
      <c r="H44" s="895"/>
      <c r="I44" s="895"/>
      <c r="J44" s="895"/>
      <c r="K44" s="895"/>
      <c r="L44" s="895"/>
      <c r="M44" s="895"/>
      <c r="N44" s="895"/>
      <c r="O44" s="895"/>
      <c r="P44" s="895"/>
      <c r="Q44" s="895"/>
      <c r="R44" s="895"/>
      <c r="S44" s="895"/>
      <c r="T44" s="84"/>
      <c r="U44" s="84"/>
      <c r="X44" s="84"/>
      <c r="Y44" s="84"/>
    </row>
    <row r="45" spans="1:25" s="54" customFormat="1" ht="28.5" customHeight="1">
      <c r="A45" s="82"/>
      <c r="B45" s="894" t="s">
        <v>98</v>
      </c>
      <c r="C45" s="895"/>
      <c r="D45" s="895"/>
      <c r="E45" s="895"/>
      <c r="F45" s="895"/>
      <c r="G45" s="895"/>
      <c r="H45" s="895"/>
      <c r="I45" s="895"/>
      <c r="J45" s="895"/>
      <c r="K45" s="895"/>
      <c r="L45" s="895"/>
      <c r="M45" s="895"/>
      <c r="N45" s="895"/>
      <c r="O45" s="895"/>
      <c r="P45" s="895"/>
      <c r="Q45" s="895"/>
      <c r="R45" s="895"/>
      <c r="S45" s="895"/>
      <c r="T45" s="84"/>
      <c r="U45" s="84"/>
      <c r="X45" s="84"/>
      <c r="Y45" s="84"/>
    </row>
    <row r="46" spans="1:25" s="54" customFormat="1" ht="28.5" customHeight="1">
      <c r="A46" s="82"/>
      <c r="B46" s="894" t="s">
        <v>99</v>
      </c>
      <c r="C46" s="895"/>
      <c r="D46" s="895"/>
      <c r="E46" s="895"/>
      <c r="F46" s="895"/>
      <c r="G46" s="895"/>
      <c r="H46" s="895"/>
      <c r="I46" s="895"/>
      <c r="J46" s="895"/>
      <c r="K46" s="895"/>
      <c r="L46" s="895"/>
      <c r="M46" s="895"/>
      <c r="N46" s="895"/>
      <c r="O46" s="895"/>
      <c r="P46" s="895"/>
      <c r="Q46" s="895"/>
      <c r="R46" s="895"/>
      <c r="S46" s="895"/>
      <c r="T46" s="84"/>
      <c r="U46" s="84"/>
      <c r="X46" s="84"/>
      <c r="Y46" s="84"/>
    </row>
    <row r="47" spans="1:25" s="54" customFormat="1" ht="36.75" customHeight="1">
      <c r="A47" s="82"/>
      <c r="B47" s="894" t="s">
        <v>15</v>
      </c>
      <c r="C47" s="895"/>
      <c r="D47" s="895"/>
      <c r="E47" s="895"/>
      <c r="F47" s="895"/>
      <c r="G47" s="895"/>
      <c r="H47" s="895"/>
      <c r="I47" s="895"/>
      <c r="J47" s="895"/>
      <c r="K47" s="895"/>
      <c r="L47" s="895"/>
      <c r="M47" s="895"/>
      <c r="N47" s="895"/>
      <c r="O47" s="895"/>
      <c r="P47" s="895"/>
      <c r="Q47" s="895"/>
      <c r="R47" s="895"/>
      <c r="S47" s="895"/>
      <c r="T47" s="84"/>
      <c r="U47" s="84"/>
      <c r="X47" s="84"/>
      <c r="Y47" s="84"/>
    </row>
    <row r="48" spans="1:25" s="54" customFormat="1" ht="43.5" customHeight="1">
      <c r="A48" s="82"/>
      <c r="B48" s="894" t="s">
        <v>16</v>
      </c>
      <c r="C48" s="895"/>
      <c r="D48" s="895"/>
      <c r="E48" s="895"/>
      <c r="F48" s="895"/>
      <c r="G48" s="895"/>
      <c r="H48" s="895"/>
      <c r="I48" s="895"/>
      <c r="J48" s="895"/>
      <c r="K48" s="895"/>
      <c r="L48" s="895"/>
      <c r="M48" s="895"/>
      <c r="N48" s="895"/>
      <c r="O48" s="895"/>
      <c r="P48" s="895"/>
      <c r="Q48" s="895"/>
      <c r="R48" s="895"/>
      <c r="S48" s="895"/>
      <c r="T48" s="84"/>
      <c r="U48" s="84"/>
      <c r="X48" s="84"/>
      <c r="Y48" s="84"/>
    </row>
    <row r="49" spans="1:25" s="54" customFormat="1" ht="28.5" customHeight="1">
      <c r="A49" s="82"/>
      <c r="B49" s="894" t="s">
        <v>17</v>
      </c>
      <c r="C49" s="895"/>
      <c r="D49" s="895"/>
      <c r="E49" s="895"/>
      <c r="F49" s="895"/>
      <c r="G49" s="895"/>
      <c r="H49" s="895"/>
      <c r="I49" s="895"/>
      <c r="J49" s="895"/>
      <c r="K49" s="895"/>
      <c r="L49" s="895"/>
      <c r="M49" s="895"/>
      <c r="N49" s="895"/>
      <c r="O49" s="895"/>
      <c r="P49" s="895"/>
      <c r="Q49" s="895"/>
      <c r="R49" s="895"/>
      <c r="S49" s="895"/>
      <c r="T49" s="84"/>
      <c r="U49" s="84"/>
      <c r="X49" s="84"/>
      <c r="Y49" s="84"/>
    </row>
    <row r="50" spans="1:25" s="54" customFormat="1" ht="30.75" customHeight="1">
      <c r="A50" s="82"/>
      <c r="B50" s="894" t="s">
        <v>18</v>
      </c>
      <c r="C50" s="895"/>
      <c r="D50" s="895"/>
      <c r="E50" s="895"/>
      <c r="F50" s="895"/>
      <c r="G50" s="895"/>
      <c r="H50" s="895"/>
      <c r="I50" s="895"/>
      <c r="J50" s="895"/>
      <c r="K50" s="895"/>
      <c r="L50" s="895"/>
      <c r="M50" s="895"/>
      <c r="N50" s="895"/>
      <c r="O50" s="895"/>
      <c r="P50" s="895"/>
      <c r="Q50" s="895"/>
      <c r="R50" s="895"/>
      <c r="S50" s="895"/>
      <c r="T50" s="84"/>
      <c r="U50" s="84"/>
      <c r="X50" s="84"/>
      <c r="Y50" s="84"/>
    </row>
    <row r="51" spans="1:30" s="54" customFormat="1" ht="26.25" customHeight="1">
      <c r="A51" s="82"/>
      <c r="B51" s="894" t="s">
        <v>19</v>
      </c>
      <c r="C51" s="894"/>
      <c r="D51" s="894"/>
      <c r="E51" s="894"/>
      <c r="F51" s="894"/>
      <c r="G51" s="894"/>
      <c r="H51" s="894"/>
      <c r="I51" s="894"/>
      <c r="J51" s="894"/>
      <c r="K51" s="894"/>
      <c r="L51" s="894"/>
      <c r="M51" s="894"/>
      <c r="N51" s="894"/>
      <c r="O51" s="894"/>
      <c r="P51" s="894"/>
      <c r="Q51" s="894"/>
      <c r="R51" s="894"/>
      <c r="S51" s="894"/>
      <c r="T51" s="86"/>
      <c r="U51" s="86"/>
      <c r="V51" s="86"/>
      <c r="W51" s="86"/>
      <c r="X51" s="86"/>
      <c r="Y51" s="86"/>
      <c r="Z51" s="86"/>
      <c r="AA51" s="86"/>
      <c r="AB51" s="87"/>
      <c r="AC51" s="87"/>
      <c r="AD51" s="84"/>
    </row>
    <row r="52" spans="1:30" s="54" customFormat="1" ht="29.25" customHeight="1">
      <c r="A52" s="82"/>
      <c r="B52" s="894" t="s">
        <v>20</v>
      </c>
      <c r="C52" s="894"/>
      <c r="D52" s="894"/>
      <c r="E52" s="894"/>
      <c r="F52" s="894"/>
      <c r="G52" s="894"/>
      <c r="H52" s="894"/>
      <c r="I52" s="894"/>
      <c r="J52" s="894"/>
      <c r="K52" s="894"/>
      <c r="L52" s="894"/>
      <c r="M52" s="894"/>
      <c r="N52" s="894"/>
      <c r="O52" s="894"/>
      <c r="P52" s="894"/>
      <c r="Q52" s="894"/>
      <c r="R52" s="894"/>
      <c r="S52" s="894"/>
      <c r="AB52" s="87"/>
      <c r="AC52" s="87"/>
      <c r="AD52" s="84"/>
    </row>
    <row r="53" spans="1:30" s="54" customFormat="1" ht="27" customHeight="1">
      <c r="A53" s="82"/>
      <c r="B53" s="894" t="s">
        <v>21</v>
      </c>
      <c r="C53" s="894"/>
      <c r="D53" s="894"/>
      <c r="E53" s="894"/>
      <c r="F53" s="894"/>
      <c r="G53" s="894"/>
      <c r="H53" s="894"/>
      <c r="I53" s="894"/>
      <c r="J53" s="894"/>
      <c r="K53" s="894"/>
      <c r="L53" s="894"/>
      <c r="M53" s="894"/>
      <c r="N53" s="894"/>
      <c r="O53" s="894"/>
      <c r="P53" s="894"/>
      <c r="Q53" s="894"/>
      <c r="R53" s="894"/>
      <c r="S53" s="894"/>
      <c r="AB53" s="87"/>
      <c r="AC53" s="87"/>
      <c r="AD53" s="84"/>
    </row>
    <row r="54" spans="1:30" s="54" customFormat="1" ht="27" customHeight="1">
      <c r="A54" s="82"/>
      <c r="B54" s="54" t="s">
        <v>22</v>
      </c>
      <c r="AB54" s="87"/>
      <c r="AC54" s="87"/>
      <c r="AD54" s="84"/>
    </row>
    <row r="55" spans="1:30" s="54" customFormat="1" ht="30.75" customHeight="1">
      <c r="A55" s="82"/>
      <c r="B55" s="894" t="s">
        <v>23</v>
      </c>
      <c r="C55" s="894"/>
      <c r="D55" s="894"/>
      <c r="E55" s="894"/>
      <c r="F55" s="894"/>
      <c r="G55" s="894"/>
      <c r="H55" s="894"/>
      <c r="I55" s="894"/>
      <c r="J55" s="894"/>
      <c r="K55" s="894"/>
      <c r="L55" s="894"/>
      <c r="M55" s="894"/>
      <c r="N55" s="894"/>
      <c r="O55" s="894"/>
      <c r="P55" s="894"/>
      <c r="Q55" s="894"/>
      <c r="R55" s="894"/>
      <c r="S55" s="894"/>
      <c r="T55" s="86"/>
      <c r="U55" s="86"/>
      <c r="V55" s="86"/>
      <c r="W55" s="86"/>
      <c r="X55" s="86"/>
      <c r="Y55" s="86"/>
      <c r="Z55" s="86"/>
      <c r="AA55" s="86"/>
      <c r="AB55" s="87"/>
      <c r="AC55" s="87"/>
      <c r="AD55" s="84"/>
    </row>
    <row r="56" spans="1:30" s="54" customFormat="1" ht="29.25" customHeight="1">
      <c r="A56" s="82"/>
      <c r="B56" s="54" t="s">
        <v>24</v>
      </c>
      <c r="AB56" s="87"/>
      <c r="AC56" s="87"/>
      <c r="AD56" s="84"/>
    </row>
    <row r="57" spans="1:30" s="54" customFormat="1" ht="27" customHeight="1">
      <c r="A57" s="82"/>
      <c r="B57" s="894" t="s">
        <v>93</v>
      </c>
      <c r="C57" s="894"/>
      <c r="D57" s="894"/>
      <c r="E57" s="894"/>
      <c r="F57" s="894"/>
      <c r="G57" s="894"/>
      <c r="H57" s="894"/>
      <c r="I57" s="894"/>
      <c r="J57" s="894"/>
      <c r="K57" s="894"/>
      <c r="L57" s="894"/>
      <c r="M57" s="894"/>
      <c r="N57" s="894"/>
      <c r="O57" s="894"/>
      <c r="P57" s="894"/>
      <c r="Q57" s="894"/>
      <c r="R57" s="894"/>
      <c r="S57" s="894"/>
      <c r="AB57" s="87"/>
      <c r="AC57" s="87"/>
      <c r="AD57" s="84"/>
    </row>
    <row r="58" spans="1:30" s="54" customFormat="1" ht="24.75" customHeight="1">
      <c r="A58" s="82"/>
      <c r="B58" s="54" t="s">
        <v>94</v>
      </c>
      <c r="AB58" s="87"/>
      <c r="AC58" s="87"/>
      <c r="AD58" s="84"/>
    </row>
    <row r="59" spans="1:30" s="54" customFormat="1" ht="24.75" customHeight="1">
      <c r="A59" s="82"/>
      <c r="B59" s="54" t="s">
        <v>13</v>
      </c>
      <c r="AB59" s="87"/>
      <c r="AC59" s="87"/>
      <c r="AD59" s="84"/>
    </row>
    <row r="60" spans="1:30" s="54" customFormat="1" ht="24.75" customHeight="1">
      <c r="A60" s="82"/>
      <c r="B60" s="54" t="s">
        <v>14</v>
      </c>
      <c r="AB60" s="87"/>
      <c r="AC60" s="87"/>
      <c r="AD60" s="84"/>
    </row>
    <row r="61" spans="1:29" ht="27" customHeight="1">
      <c r="A61" s="82"/>
      <c r="B61" s="894" t="s">
        <v>1195</v>
      </c>
      <c r="C61" s="894"/>
      <c r="D61" s="894"/>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row>
    <row r="62" spans="1:29" ht="19.5" customHeight="1">
      <c r="A62" s="82"/>
      <c r="B62" s="894"/>
      <c r="C62" s="894"/>
      <c r="D62" s="894"/>
      <c r="E62" s="894"/>
      <c r="F62" s="894"/>
      <c r="G62" s="894"/>
      <c r="H62" s="894"/>
      <c r="I62" s="894"/>
      <c r="J62" s="894"/>
      <c r="K62" s="894"/>
      <c r="L62" s="894"/>
      <c r="M62" s="894"/>
      <c r="N62" s="894"/>
      <c r="O62" s="894"/>
      <c r="P62" s="894"/>
      <c r="Q62" s="894"/>
      <c r="R62" s="894"/>
      <c r="S62" s="894"/>
      <c r="T62" s="894"/>
      <c r="U62" s="894"/>
      <c r="V62" s="894"/>
      <c r="W62" s="894"/>
      <c r="X62" s="894"/>
      <c r="Y62" s="894"/>
      <c r="Z62" s="894"/>
      <c r="AA62" s="894"/>
      <c r="AB62" s="894"/>
      <c r="AC62" s="894"/>
    </row>
    <row r="63" spans="1:29" ht="19.5" customHeight="1">
      <c r="A63" s="82"/>
      <c r="B63" s="88"/>
      <c r="C63" s="86"/>
      <c r="D63" s="86"/>
      <c r="E63" s="86"/>
      <c r="F63" s="86"/>
      <c r="G63" s="84"/>
      <c r="H63" s="84"/>
      <c r="I63" s="84"/>
      <c r="J63" s="84"/>
      <c r="K63" s="84"/>
      <c r="L63" s="84"/>
      <c r="M63" s="84"/>
      <c r="N63" s="84"/>
      <c r="O63" s="84"/>
      <c r="P63" s="84"/>
      <c r="Q63" s="84"/>
      <c r="R63" s="84"/>
      <c r="S63" s="84"/>
      <c r="T63" s="84"/>
      <c r="U63" s="84"/>
      <c r="V63" s="84"/>
      <c r="W63" s="84"/>
      <c r="X63" s="84"/>
      <c r="Y63" s="84"/>
      <c r="Z63" s="84"/>
      <c r="AA63" s="84"/>
      <c r="AB63" s="84"/>
      <c r="AC63" s="84"/>
    </row>
    <row r="64" spans="1:29" ht="19.5" customHeight="1">
      <c r="A64" s="82"/>
      <c r="B64" s="88"/>
      <c r="C64" s="86"/>
      <c r="D64" s="86"/>
      <c r="E64" s="86"/>
      <c r="F64" s="86"/>
      <c r="G64" s="84"/>
      <c r="H64" s="84"/>
      <c r="I64" s="84"/>
      <c r="J64" s="84"/>
      <c r="K64" s="84"/>
      <c r="L64" s="84"/>
      <c r="M64" s="84"/>
      <c r="N64" s="84"/>
      <c r="O64" s="84"/>
      <c r="P64" s="84"/>
      <c r="Q64" s="84"/>
      <c r="R64" s="84"/>
      <c r="S64" s="84"/>
      <c r="T64" s="84"/>
      <c r="U64" s="84"/>
      <c r="V64" s="84"/>
      <c r="W64" s="84"/>
      <c r="X64" s="84"/>
      <c r="Y64" s="84"/>
      <c r="Z64" s="84"/>
      <c r="AA64" s="84"/>
      <c r="AB64" s="84"/>
      <c r="AC64" s="84"/>
    </row>
    <row r="65" spans="1:29" ht="19.5" customHeight="1">
      <c r="A65" s="82"/>
      <c r="B65" s="88"/>
      <c r="C65" s="86"/>
      <c r="D65" s="86"/>
      <c r="E65" s="86"/>
      <c r="F65" s="86"/>
      <c r="G65" s="84"/>
      <c r="H65" s="84"/>
      <c r="I65" s="84"/>
      <c r="J65" s="84"/>
      <c r="K65" s="84"/>
      <c r="L65" s="84"/>
      <c r="M65" s="84"/>
      <c r="N65" s="84"/>
      <c r="O65" s="84"/>
      <c r="P65" s="84"/>
      <c r="Q65" s="84"/>
      <c r="R65" s="84"/>
      <c r="S65" s="84"/>
      <c r="T65" s="84"/>
      <c r="U65" s="84"/>
      <c r="V65" s="84"/>
      <c r="W65" s="84"/>
      <c r="X65" s="84"/>
      <c r="Y65" s="84"/>
      <c r="Z65" s="84"/>
      <c r="AA65" s="84"/>
      <c r="AB65" s="84"/>
      <c r="AC65" s="84"/>
    </row>
    <row r="66" spans="1:29" ht="19.5" customHeight="1">
      <c r="A66" s="82"/>
      <c r="B66" s="88"/>
      <c r="C66" s="86"/>
      <c r="D66" s="86"/>
      <c r="E66" s="86"/>
      <c r="F66" s="86"/>
      <c r="G66" s="84"/>
      <c r="H66" s="84"/>
      <c r="I66" s="84"/>
      <c r="J66" s="84"/>
      <c r="K66" s="84"/>
      <c r="L66" s="84"/>
      <c r="M66" s="84"/>
      <c r="N66" s="84"/>
      <c r="O66" s="84"/>
      <c r="P66" s="84"/>
      <c r="Q66" s="84"/>
      <c r="R66" s="84"/>
      <c r="S66" s="84"/>
      <c r="T66" s="84"/>
      <c r="U66" s="84"/>
      <c r="V66" s="84"/>
      <c r="W66" s="84"/>
      <c r="X66" s="84"/>
      <c r="Y66" s="84"/>
      <c r="Z66" s="84"/>
      <c r="AA66" s="84"/>
      <c r="AB66" s="84"/>
      <c r="AC66" s="84"/>
    </row>
    <row r="67" spans="1:29" ht="19.5" customHeight="1">
      <c r="A67" s="82"/>
      <c r="B67" s="88"/>
      <c r="C67" s="86"/>
      <c r="D67" s="86"/>
      <c r="E67" s="86"/>
      <c r="F67" s="86"/>
      <c r="G67" s="84"/>
      <c r="H67" s="84"/>
      <c r="I67" s="84"/>
      <c r="J67" s="84"/>
      <c r="K67" s="84"/>
      <c r="L67" s="84"/>
      <c r="M67" s="84"/>
      <c r="N67" s="84"/>
      <c r="O67" s="84"/>
      <c r="P67" s="84"/>
      <c r="Q67" s="84"/>
      <c r="R67" s="84"/>
      <c r="S67" s="84"/>
      <c r="T67" s="84"/>
      <c r="U67" s="84"/>
      <c r="V67" s="84"/>
      <c r="W67" s="84"/>
      <c r="X67" s="84"/>
      <c r="Y67" s="84"/>
      <c r="Z67" s="84"/>
      <c r="AA67" s="84"/>
      <c r="AB67" s="84"/>
      <c r="AC67" s="84"/>
    </row>
    <row r="68" spans="1:29" ht="19.5" customHeight="1">
      <c r="A68" s="82"/>
      <c r="B68" s="88"/>
      <c r="C68" s="86"/>
      <c r="D68" s="86"/>
      <c r="E68" s="86"/>
      <c r="F68" s="86"/>
      <c r="G68" s="84"/>
      <c r="H68" s="84"/>
      <c r="I68" s="84"/>
      <c r="J68" s="84"/>
      <c r="K68" s="84"/>
      <c r="L68" s="84"/>
      <c r="M68" s="84"/>
      <c r="N68" s="84"/>
      <c r="O68" s="84"/>
      <c r="P68" s="84"/>
      <c r="Q68" s="84"/>
      <c r="R68" s="84"/>
      <c r="S68" s="84"/>
      <c r="T68" s="84"/>
      <c r="U68" s="84"/>
      <c r="V68" s="84"/>
      <c r="W68" s="84"/>
      <c r="X68" s="84"/>
      <c r="Y68" s="84"/>
      <c r="Z68" s="84"/>
      <c r="AA68" s="84"/>
      <c r="AB68" s="84"/>
      <c r="AC68" s="84"/>
    </row>
    <row r="69" spans="1:29" ht="19.5" customHeight="1">
      <c r="A69" s="82"/>
      <c r="B69" s="88"/>
      <c r="C69" s="86"/>
      <c r="D69" s="86"/>
      <c r="E69" s="86"/>
      <c r="F69" s="86"/>
      <c r="G69" s="84"/>
      <c r="H69" s="84"/>
      <c r="I69" s="84"/>
      <c r="J69" s="84"/>
      <c r="K69" s="84"/>
      <c r="L69" s="84"/>
      <c r="M69" s="84"/>
      <c r="N69" s="84"/>
      <c r="O69" s="84"/>
      <c r="P69" s="84"/>
      <c r="Q69" s="84"/>
      <c r="R69" s="84"/>
      <c r="S69" s="84"/>
      <c r="T69" s="84"/>
      <c r="U69" s="84"/>
      <c r="V69" s="84"/>
      <c r="W69" s="84"/>
      <c r="X69" s="84"/>
      <c r="Y69" s="84"/>
      <c r="Z69" s="84"/>
      <c r="AA69" s="84"/>
      <c r="AB69" s="84"/>
      <c r="AC69" s="84"/>
    </row>
    <row r="70" spans="1:29" ht="19.5" customHeight="1">
      <c r="A70" s="82"/>
      <c r="B70" s="88"/>
      <c r="C70" s="86"/>
      <c r="D70" s="86"/>
      <c r="E70" s="86"/>
      <c r="F70" s="86"/>
      <c r="G70" s="84"/>
      <c r="H70" s="84"/>
      <c r="I70" s="84"/>
      <c r="J70" s="84"/>
      <c r="K70" s="84"/>
      <c r="L70" s="84"/>
      <c r="M70" s="84"/>
      <c r="N70" s="84"/>
      <c r="O70" s="84"/>
      <c r="P70" s="84"/>
      <c r="Q70" s="84"/>
      <c r="R70" s="84"/>
      <c r="S70" s="84"/>
      <c r="T70" s="84"/>
      <c r="U70" s="84"/>
      <c r="V70" s="84"/>
      <c r="W70" s="84"/>
      <c r="X70" s="84"/>
      <c r="Y70" s="84"/>
      <c r="Z70" s="84"/>
      <c r="AA70" s="84"/>
      <c r="AB70" s="84"/>
      <c r="AC70" s="84"/>
    </row>
    <row r="71" spans="1:29" ht="19.5" customHeight="1">
      <c r="A71" s="82"/>
      <c r="B71" s="88"/>
      <c r="C71" s="86"/>
      <c r="D71" s="86"/>
      <c r="E71" s="86"/>
      <c r="F71" s="86"/>
      <c r="G71" s="84"/>
      <c r="H71" s="84"/>
      <c r="I71" s="84"/>
      <c r="J71" s="84"/>
      <c r="K71" s="84"/>
      <c r="L71" s="84"/>
      <c r="M71" s="84"/>
      <c r="N71" s="84"/>
      <c r="O71" s="84"/>
      <c r="P71" s="84"/>
      <c r="Q71" s="84"/>
      <c r="R71" s="84"/>
      <c r="S71" s="84"/>
      <c r="T71" s="84"/>
      <c r="U71" s="84"/>
      <c r="V71" s="84"/>
      <c r="W71" s="84"/>
      <c r="X71" s="84"/>
      <c r="Y71" s="84"/>
      <c r="Z71" s="84"/>
      <c r="AA71" s="84"/>
      <c r="AB71" s="84"/>
      <c r="AC71" s="84"/>
    </row>
    <row r="72" spans="1:29" ht="19.5" customHeight="1">
      <c r="A72" s="82"/>
      <c r="B72" s="88"/>
      <c r="C72" s="86"/>
      <c r="D72" s="86"/>
      <c r="E72" s="86"/>
      <c r="F72" s="86"/>
      <c r="G72" s="84"/>
      <c r="H72" s="84"/>
      <c r="I72" s="84"/>
      <c r="J72" s="84"/>
      <c r="K72" s="84"/>
      <c r="L72" s="84"/>
      <c r="M72" s="84"/>
      <c r="N72" s="84"/>
      <c r="O72" s="84"/>
      <c r="P72" s="84"/>
      <c r="Q72" s="84"/>
      <c r="R72" s="84"/>
      <c r="S72" s="84"/>
      <c r="T72" s="84"/>
      <c r="U72" s="84"/>
      <c r="V72" s="84"/>
      <c r="W72" s="84"/>
      <c r="X72" s="84"/>
      <c r="Y72" s="84"/>
      <c r="Z72" s="84"/>
      <c r="AA72" s="84"/>
      <c r="AB72" s="84"/>
      <c r="AC72" s="84"/>
    </row>
    <row r="73" spans="1:29" ht="19.5" customHeight="1">
      <c r="A73" s="82"/>
      <c r="B73" s="88"/>
      <c r="C73" s="86"/>
      <c r="D73" s="86"/>
      <c r="E73" s="86"/>
      <c r="F73" s="86"/>
      <c r="G73" s="84"/>
      <c r="H73" s="84"/>
      <c r="I73" s="84"/>
      <c r="J73" s="84"/>
      <c r="K73" s="84"/>
      <c r="L73" s="84"/>
      <c r="M73" s="84"/>
      <c r="N73" s="84"/>
      <c r="O73" s="84"/>
      <c r="P73" s="84"/>
      <c r="Q73" s="84"/>
      <c r="R73" s="84"/>
      <c r="S73" s="84"/>
      <c r="T73" s="84"/>
      <c r="U73" s="84"/>
      <c r="V73" s="84"/>
      <c r="W73" s="84"/>
      <c r="X73" s="84"/>
      <c r="Y73" s="84"/>
      <c r="Z73" s="84"/>
      <c r="AA73" s="84"/>
      <c r="AB73" s="84"/>
      <c r="AC73" s="84"/>
    </row>
    <row r="74" spans="1:29" ht="19.5" customHeight="1">
      <c r="A74" s="82"/>
      <c r="B74" s="88"/>
      <c r="C74" s="86"/>
      <c r="D74" s="86"/>
      <c r="E74" s="86"/>
      <c r="F74" s="86"/>
      <c r="G74" s="84"/>
      <c r="H74" s="84"/>
      <c r="I74" s="84"/>
      <c r="J74" s="84"/>
      <c r="K74" s="84"/>
      <c r="L74" s="84"/>
      <c r="M74" s="84"/>
      <c r="N74" s="84"/>
      <c r="O74" s="84"/>
      <c r="P74" s="84"/>
      <c r="Q74" s="84"/>
      <c r="R74" s="84"/>
      <c r="S74" s="84"/>
      <c r="T74" s="84"/>
      <c r="U74" s="84"/>
      <c r="V74" s="84"/>
      <c r="W74" s="84"/>
      <c r="X74" s="84"/>
      <c r="Y74" s="84"/>
      <c r="Z74" s="84"/>
      <c r="AA74" s="84"/>
      <c r="AB74" s="84"/>
      <c r="AC74" s="84"/>
    </row>
    <row r="75" spans="1:29" ht="19.5" customHeight="1">
      <c r="A75" s="82"/>
      <c r="B75" s="88"/>
      <c r="C75" s="86"/>
      <c r="D75" s="86"/>
      <c r="E75" s="86"/>
      <c r="F75" s="86"/>
      <c r="G75" s="84"/>
      <c r="H75" s="84"/>
      <c r="I75" s="84"/>
      <c r="J75" s="84"/>
      <c r="K75" s="84"/>
      <c r="L75" s="84"/>
      <c r="M75" s="84"/>
      <c r="N75" s="84"/>
      <c r="O75" s="84"/>
      <c r="P75" s="84"/>
      <c r="Q75" s="84"/>
      <c r="R75" s="84"/>
      <c r="S75" s="84"/>
      <c r="T75" s="84"/>
      <c r="U75" s="84"/>
      <c r="V75" s="84"/>
      <c r="W75" s="84"/>
      <c r="X75" s="84"/>
      <c r="Y75" s="84"/>
      <c r="Z75" s="84"/>
      <c r="AA75" s="84"/>
      <c r="AB75" s="84"/>
      <c r="AC75" s="84"/>
    </row>
    <row r="76" spans="1:29" ht="19.5" customHeight="1">
      <c r="A76" s="82"/>
      <c r="B76" s="88"/>
      <c r="C76" s="86"/>
      <c r="D76" s="86"/>
      <c r="E76" s="86"/>
      <c r="F76" s="86"/>
      <c r="G76" s="84"/>
      <c r="H76" s="84"/>
      <c r="I76" s="84"/>
      <c r="J76" s="84"/>
      <c r="K76" s="84"/>
      <c r="L76" s="84"/>
      <c r="M76" s="84"/>
      <c r="N76" s="84"/>
      <c r="O76" s="84"/>
      <c r="P76" s="84"/>
      <c r="Q76" s="84"/>
      <c r="R76" s="84"/>
      <c r="S76" s="84"/>
      <c r="T76" s="84"/>
      <c r="U76" s="84"/>
      <c r="V76" s="84"/>
      <c r="W76" s="84"/>
      <c r="X76" s="84"/>
      <c r="Y76" s="84"/>
      <c r="Z76" s="84"/>
      <c r="AA76" s="84"/>
      <c r="AB76" s="84"/>
      <c r="AC76" s="84"/>
    </row>
    <row r="77" spans="1:29" ht="15.75">
      <c r="A77" s="82"/>
      <c r="B77" s="88"/>
      <c r="C77" s="86"/>
      <c r="D77" s="86"/>
      <c r="E77" s="86"/>
      <c r="F77" s="86"/>
      <c r="G77" s="84"/>
      <c r="H77" s="84"/>
      <c r="I77" s="84"/>
      <c r="J77" s="84"/>
      <c r="K77" s="84"/>
      <c r="L77" s="84"/>
      <c r="M77" s="84"/>
      <c r="N77" s="84"/>
      <c r="O77" s="84"/>
      <c r="P77" s="84"/>
      <c r="Q77" s="84"/>
      <c r="R77" s="84"/>
      <c r="S77" s="84"/>
      <c r="T77" s="84"/>
      <c r="U77" s="84"/>
      <c r="V77" s="84"/>
      <c r="W77" s="84"/>
      <c r="X77" s="84"/>
      <c r="Y77" s="84"/>
      <c r="Z77" s="84"/>
      <c r="AA77" s="84"/>
      <c r="AB77" s="84"/>
      <c r="AC77" s="84"/>
    </row>
    <row r="78" spans="1:29" ht="15.75">
      <c r="A78" s="82"/>
      <c r="B78" s="88"/>
      <c r="C78" s="86"/>
      <c r="D78" s="86"/>
      <c r="E78" s="86"/>
      <c r="F78" s="86"/>
      <c r="G78" s="84"/>
      <c r="H78" s="84"/>
      <c r="I78" s="84"/>
      <c r="J78" s="84"/>
      <c r="K78" s="84"/>
      <c r="L78" s="84"/>
      <c r="M78" s="84"/>
      <c r="N78" s="84"/>
      <c r="O78" s="84"/>
      <c r="P78" s="84"/>
      <c r="Q78" s="84"/>
      <c r="R78" s="84"/>
      <c r="S78" s="84"/>
      <c r="T78" s="84"/>
      <c r="U78" s="84"/>
      <c r="V78" s="84"/>
      <c r="W78" s="84"/>
      <c r="X78" s="84"/>
      <c r="Y78" s="84"/>
      <c r="Z78" s="84"/>
      <c r="AA78" s="84"/>
      <c r="AB78" s="84"/>
      <c r="AC78" s="84"/>
    </row>
    <row r="79" spans="1:29" ht="15.75">
      <c r="A79" s="82"/>
      <c r="B79" s="88"/>
      <c r="C79" s="86"/>
      <c r="D79" s="86"/>
      <c r="E79" s="86"/>
      <c r="F79" s="86"/>
      <c r="G79" s="84"/>
      <c r="H79" s="84"/>
      <c r="I79" s="84"/>
      <c r="J79" s="84"/>
      <c r="K79" s="84"/>
      <c r="L79" s="84"/>
      <c r="M79" s="84"/>
      <c r="N79" s="84"/>
      <c r="O79" s="84"/>
      <c r="P79" s="84"/>
      <c r="Q79" s="84"/>
      <c r="R79" s="84"/>
      <c r="S79" s="84"/>
      <c r="T79" s="84"/>
      <c r="U79" s="84"/>
      <c r="V79" s="84"/>
      <c r="W79" s="84"/>
      <c r="X79" s="84"/>
      <c r="Y79" s="84"/>
      <c r="Z79" s="84"/>
      <c r="AA79" s="84"/>
      <c r="AB79" s="84"/>
      <c r="AC79" s="84"/>
    </row>
    <row r="80" spans="1:29" ht="15.75">
      <c r="A80" s="82"/>
      <c r="B80" s="88"/>
      <c r="C80" s="86"/>
      <c r="D80" s="86"/>
      <c r="E80" s="86"/>
      <c r="F80" s="86"/>
      <c r="G80" s="84"/>
      <c r="H80" s="84"/>
      <c r="I80" s="84"/>
      <c r="J80" s="84"/>
      <c r="K80" s="84"/>
      <c r="L80" s="84"/>
      <c r="M80" s="84"/>
      <c r="N80" s="84"/>
      <c r="O80" s="84"/>
      <c r="P80" s="84"/>
      <c r="Q80" s="84"/>
      <c r="R80" s="84"/>
      <c r="S80" s="84"/>
      <c r="T80" s="84"/>
      <c r="U80" s="84"/>
      <c r="V80" s="84"/>
      <c r="W80" s="84"/>
      <c r="X80" s="84"/>
      <c r="Y80" s="84"/>
      <c r="Z80" s="84"/>
      <c r="AA80" s="84"/>
      <c r="AB80" s="84"/>
      <c r="AC80" s="84"/>
    </row>
    <row r="81" spans="1:29" ht="15.75">
      <c r="A81" s="82"/>
      <c r="B81" s="88"/>
      <c r="C81" s="86"/>
      <c r="D81" s="86"/>
      <c r="E81" s="86"/>
      <c r="F81" s="86"/>
      <c r="G81" s="84"/>
      <c r="H81" s="84"/>
      <c r="I81" s="84"/>
      <c r="J81" s="84"/>
      <c r="K81" s="84"/>
      <c r="L81" s="84"/>
      <c r="M81" s="84"/>
      <c r="N81" s="84"/>
      <c r="O81" s="84"/>
      <c r="P81" s="84"/>
      <c r="Q81" s="84"/>
      <c r="R81" s="84"/>
      <c r="S81" s="84"/>
      <c r="T81" s="84"/>
      <c r="U81" s="84"/>
      <c r="V81" s="84"/>
      <c r="W81" s="84"/>
      <c r="X81" s="84"/>
      <c r="Y81" s="84"/>
      <c r="Z81" s="84"/>
      <c r="AA81" s="84"/>
      <c r="AB81" s="84"/>
      <c r="AC81" s="84"/>
    </row>
    <row r="82" spans="1:29" ht="15.75">
      <c r="A82" s="82"/>
      <c r="B82" s="88"/>
      <c r="C82" s="86"/>
      <c r="D82" s="86"/>
      <c r="E82" s="86"/>
      <c r="F82" s="86"/>
      <c r="G82" s="84"/>
      <c r="H82" s="84"/>
      <c r="I82" s="84"/>
      <c r="J82" s="84"/>
      <c r="K82" s="84"/>
      <c r="L82" s="84"/>
      <c r="M82" s="84"/>
      <c r="N82" s="84"/>
      <c r="O82" s="84"/>
      <c r="P82" s="84"/>
      <c r="Q82" s="84"/>
      <c r="R82" s="84"/>
      <c r="S82" s="84"/>
      <c r="T82" s="84"/>
      <c r="U82" s="84"/>
      <c r="V82" s="84"/>
      <c r="W82" s="84"/>
      <c r="X82" s="84"/>
      <c r="Y82" s="84"/>
      <c r="Z82" s="84"/>
      <c r="AA82" s="84"/>
      <c r="AB82" s="84"/>
      <c r="AC82" s="84"/>
    </row>
    <row r="83" spans="1:29" ht="15.75">
      <c r="A83" s="82"/>
      <c r="B83" s="88"/>
      <c r="C83" s="86"/>
      <c r="D83" s="86"/>
      <c r="E83" s="86"/>
      <c r="F83" s="86"/>
      <c r="G83" s="84"/>
      <c r="H83" s="84"/>
      <c r="I83" s="84"/>
      <c r="J83" s="84"/>
      <c r="K83" s="84"/>
      <c r="L83" s="84"/>
      <c r="M83" s="84"/>
      <c r="N83" s="84"/>
      <c r="O83" s="84"/>
      <c r="P83" s="84"/>
      <c r="Q83" s="84"/>
      <c r="R83" s="84"/>
      <c r="S83" s="84"/>
      <c r="T83" s="84"/>
      <c r="U83" s="84"/>
      <c r="V83" s="84"/>
      <c r="W83" s="84"/>
      <c r="X83" s="84"/>
      <c r="Y83" s="84"/>
      <c r="Z83" s="84"/>
      <c r="AA83" s="84"/>
      <c r="AB83" s="84"/>
      <c r="AC83" s="84"/>
    </row>
    <row r="84" spans="1:29" ht="15.75">
      <c r="A84" s="82"/>
      <c r="B84" s="88"/>
      <c r="C84" s="86"/>
      <c r="D84" s="86"/>
      <c r="E84" s="86"/>
      <c r="F84" s="86"/>
      <c r="G84" s="84"/>
      <c r="H84" s="84"/>
      <c r="I84" s="84"/>
      <c r="J84" s="84"/>
      <c r="K84" s="84"/>
      <c r="L84" s="84"/>
      <c r="M84" s="84"/>
      <c r="N84" s="84"/>
      <c r="O84" s="84"/>
      <c r="P84" s="84"/>
      <c r="Q84" s="84"/>
      <c r="R84" s="84"/>
      <c r="S84" s="84"/>
      <c r="T84" s="84"/>
      <c r="U84" s="84"/>
      <c r="V84" s="84"/>
      <c r="W84" s="84"/>
      <c r="X84" s="84"/>
      <c r="Y84" s="84"/>
      <c r="Z84" s="84"/>
      <c r="AA84" s="84"/>
      <c r="AB84" s="84"/>
      <c r="AC84" s="84"/>
    </row>
    <row r="85" spans="1:29" ht="15.75">
      <c r="A85" s="82"/>
      <c r="B85" s="88"/>
      <c r="C85" s="86"/>
      <c r="D85" s="86"/>
      <c r="E85" s="86"/>
      <c r="F85" s="86"/>
      <c r="G85" s="84"/>
      <c r="H85" s="84"/>
      <c r="I85" s="84"/>
      <c r="J85" s="84"/>
      <c r="K85" s="84"/>
      <c r="L85" s="84"/>
      <c r="M85" s="84"/>
      <c r="N85" s="84"/>
      <c r="O85" s="84"/>
      <c r="P85" s="84"/>
      <c r="Q85" s="84"/>
      <c r="R85" s="84"/>
      <c r="S85" s="84"/>
      <c r="T85" s="84"/>
      <c r="U85" s="84"/>
      <c r="V85" s="84"/>
      <c r="W85" s="84"/>
      <c r="X85" s="84"/>
      <c r="Y85" s="84"/>
      <c r="Z85" s="84"/>
      <c r="AA85" s="84"/>
      <c r="AB85" s="84"/>
      <c r="AC85" s="84"/>
    </row>
    <row r="86" spans="1:29" ht="15.75">
      <c r="A86" s="82"/>
      <c r="B86" s="88"/>
      <c r="C86" s="86"/>
      <c r="D86" s="86"/>
      <c r="E86" s="86"/>
      <c r="F86" s="86"/>
      <c r="G86" s="84"/>
      <c r="H86" s="84"/>
      <c r="I86" s="84"/>
      <c r="J86" s="84"/>
      <c r="K86" s="84"/>
      <c r="L86" s="84"/>
      <c r="M86" s="84"/>
      <c r="N86" s="84"/>
      <c r="O86" s="84"/>
      <c r="P86" s="84"/>
      <c r="Q86" s="84"/>
      <c r="R86" s="84"/>
      <c r="S86" s="84"/>
      <c r="T86" s="84"/>
      <c r="U86" s="84"/>
      <c r="V86" s="84"/>
      <c r="W86" s="84"/>
      <c r="X86" s="84"/>
      <c r="Y86" s="84"/>
      <c r="Z86" s="84"/>
      <c r="AA86" s="84"/>
      <c r="AB86" s="84"/>
      <c r="AC86" s="84"/>
    </row>
    <row r="87" spans="1:29" ht="15.75">
      <c r="A87" s="82"/>
      <c r="B87" s="88"/>
      <c r="C87" s="86"/>
      <c r="D87" s="86"/>
      <c r="E87" s="86"/>
      <c r="F87" s="86"/>
      <c r="G87" s="84"/>
      <c r="H87" s="84"/>
      <c r="I87" s="84"/>
      <c r="J87" s="84"/>
      <c r="K87" s="84"/>
      <c r="L87" s="84"/>
      <c r="M87" s="84"/>
      <c r="N87" s="84"/>
      <c r="O87" s="84"/>
      <c r="P87" s="84"/>
      <c r="Q87" s="84"/>
      <c r="R87" s="84"/>
      <c r="S87" s="84"/>
      <c r="T87" s="84"/>
      <c r="U87" s="84"/>
      <c r="V87" s="84"/>
      <c r="W87" s="84"/>
      <c r="X87" s="84"/>
      <c r="Y87" s="84"/>
      <c r="Z87" s="84"/>
      <c r="AA87" s="84"/>
      <c r="AB87" s="84"/>
      <c r="AC87" s="84"/>
    </row>
    <row r="88" spans="1:29" ht="15.75">
      <c r="A88" s="82"/>
      <c r="B88" s="88"/>
      <c r="C88" s="86"/>
      <c r="D88" s="86"/>
      <c r="E88" s="86"/>
      <c r="F88" s="86"/>
      <c r="G88" s="84"/>
      <c r="H88" s="84"/>
      <c r="I88" s="84"/>
      <c r="J88" s="84"/>
      <c r="K88" s="84"/>
      <c r="L88" s="84"/>
      <c r="M88" s="84"/>
      <c r="N88" s="84"/>
      <c r="O88" s="84"/>
      <c r="P88" s="84"/>
      <c r="Q88" s="84"/>
      <c r="R88" s="84"/>
      <c r="S88" s="84"/>
      <c r="T88" s="84"/>
      <c r="U88" s="84"/>
      <c r="V88" s="84"/>
      <c r="W88" s="84"/>
      <c r="X88" s="84"/>
      <c r="Y88" s="84"/>
      <c r="Z88" s="84"/>
      <c r="AA88" s="84"/>
      <c r="AB88" s="84"/>
      <c r="AC88" s="84"/>
    </row>
    <row r="89" spans="1:29" ht="15.75">
      <c r="A89" s="82"/>
      <c r="B89" s="88"/>
      <c r="C89" s="86"/>
      <c r="D89" s="86"/>
      <c r="E89" s="86"/>
      <c r="F89" s="86"/>
      <c r="G89" s="84"/>
      <c r="H89" s="84"/>
      <c r="I89" s="84"/>
      <c r="J89" s="84"/>
      <c r="K89" s="84"/>
      <c r="L89" s="84"/>
      <c r="M89" s="84"/>
      <c r="N89" s="84"/>
      <c r="O89" s="84"/>
      <c r="P89" s="84"/>
      <c r="Q89" s="84"/>
      <c r="R89" s="84"/>
      <c r="S89" s="84"/>
      <c r="T89" s="84"/>
      <c r="U89" s="84"/>
      <c r="V89" s="84"/>
      <c r="W89" s="84"/>
      <c r="X89" s="84"/>
      <c r="Y89" s="84"/>
      <c r="Z89" s="84"/>
      <c r="AA89" s="84"/>
      <c r="AB89" s="84"/>
      <c r="AC89" s="84"/>
    </row>
    <row r="90" spans="1:29" ht="15.75">
      <c r="A90" s="82"/>
      <c r="B90" s="88"/>
      <c r="C90" s="86"/>
      <c r="D90" s="86"/>
      <c r="E90" s="86"/>
      <c r="F90" s="86"/>
      <c r="G90" s="84"/>
      <c r="H90" s="84"/>
      <c r="I90" s="84"/>
      <c r="J90" s="84"/>
      <c r="K90" s="84"/>
      <c r="L90" s="84"/>
      <c r="M90" s="84"/>
      <c r="N90" s="84"/>
      <c r="O90" s="84"/>
      <c r="P90" s="84"/>
      <c r="Q90" s="84"/>
      <c r="R90" s="84"/>
      <c r="S90" s="84"/>
      <c r="T90" s="84"/>
      <c r="U90" s="84"/>
      <c r="V90" s="84"/>
      <c r="W90" s="84"/>
      <c r="X90" s="84"/>
      <c r="Y90" s="84"/>
      <c r="Z90" s="84"/>
      <c r="AA90" s="84"/>
      <c r="AB90" s="84"/>
      <c r="AC90" s="84"/>
    </row>
    <row r="91" spans="1:29" ht="15.75">
      <c r="A91" s="82"/>
      <c r="B91" s="88"/>
      <c r="C91" s="86"/>
      <c r="D91" s="86"/>
      <c r="E91" s="86"/>
      <c r="F91" s="86"/>
      <c r="G91" s="84"/>
      <c r="H91" s="84"/>
      <c r="I91" s="84"/>
      <c r="J91" s="84"/>
      <c r="K91" s="84"/>
      <c r="L91" s="84"/>
      <c r="M91" s="84"/>
      <c r="N91" s="84"/>
      <c r="O91" s="84"/>
      <c r="P91" s="84"/>
      <c r="Q91" s="84"/>
      <c r="R91" s="84"/>
      <c r="S91" s="84"/>
      <c r="T91" s="84"/>
      <c r="U91" s="84"/>
      <c r="V91" s="84"/>
      <c r="W91" s="84"/>
      <c r="X91" s="84"/>
      <c r="Y91" s="84"/>
      <c r="Z91" s="84"/>
      <c r="AA91" s="84"/>
      <c r="AB91" s="84"/>
      <c r="AC91" s="84"/>
    </row>
    <row r="92" spans="1:29" ht="15.75">
      <c r="A92" s="82"/>
      <c r="B92" s="88"/>
      <c r="C92" s="86"/>
      <c r="D92" s="86"/>
      <c r="E92" s="86"/>
      <c r="F92" s="86"/>
      <c r="G92" s="84"/>
      <c r="H92" s="84"/>
      <c r="I92" s="84"/>
      <c r="J92" s="84"/>
      <c r="K92" s="84"/>
      <c r="L92" s="84"/>
      <c r="M92" s="84"/>
      <c r="N92" s="84"/>
      <c r="O92" s="84"/>
      <c r="P92" s="84"/>
      <c r="Q92" s="84"/>
      <c r="R92" s="84"/>
      <c r="S92" s="84"/>
      <c r="T92" s="84"/>
      <c r="U92" s="84"/>
      <c r="V92" s="84"/>
      <c r="W92" s="84"/>
      <c r="X92" s="84"/>
      <c r="Y92" s="84"/>
      <c r="Z92" s="84"/>
      <c r="AA92" s="84"/>
      <c r="AB92" s="84"/>
      <c r="AC92" s="84"/>
    </row>
    <row r="93" spans="1:29" ht="15.75">
      <c r="A93" s="82"/>
      <c r="B93" s="88"/>
      <c r="C93" s="86"/>
      <c r="D93" s="86"/>
      <c r="E93" s="86"/>
      <c r="F93" s="86"/>
      <c r="G93" s="84"/>
      <c r="H93" s="84"/>
      <c r="I93" s="84"/>
      <c r="J93" s="84"/>
      <c r="K93" s="84"/>
      <c r="L93" s="84"/>
      <c r="M93" s="84"/>
      <c r="N93" s="84"/>
      <c r="O93" s="84"/>
      <c r="P93" s="84"/>
      <c r="Q93" s="84"/>
      <c r="R93" s="84"/>
      <c r="S93" s="84"/>
      <c r="T93" s="84"/>
      <c r="U93" s="84"/>
      <c r="V93" s="84"/>
      <c r="W93" s="84"/>
      <c r="X93" s="84"/>
      <c r="Y93" s="84"/>
      <c r="Z93" s="84"/>
      <c r="AA93" s="84"/>
      <c r="AB93" s="84"/>
      <c r="AC93" s="84"/>
    </row>
    <row r="94" spans="1:29" ht="15.75">
      <c r="A94" s="82"/>
      <c r="B94" s="88"/>
      <c r="C94" s="86"/>
      <c r="D94" s="86"/>
      <c r="E94" s="86"/>
      <c r="F94" s="86"/>
      <c r="G94" s="84"/>
      <c r="H94" s="84"/>
      <c r="I94" s="84"/>
      <c r="J94" s="84"/>
      <c r="K94" s="84"/>
      <c r="L94" s="84"/>
      <c r="M94" s="84"/>
      <c r="N94" s="84"/>
      <c r="O94" s="84"/>
      <c r="P94" s="84"/>
      <c r="Q94" s="84"/>
      <c r="R94" s="84"/>
      <c r="S94" s="84"/>
      <c r="T94" s="84"/>
      <c r="U94" s="84"/>
      <c r="V94" s="84"/>
      <c r="W94" s="84"/>
      <c r="X94" s="84"/>
      <c r="Y94" s="84"/>
      <c r="Z94" s="84"/>
      <c r="AA94" s="84"/>
      <c r="AB94" s="84"/>
      <c r="AC94" s="84"/>
    </row>
    <row r="95" spans="1:29" ht="15.75">
      <c r="A95" s="82"/>
      <c r="B95" s="88"/>
      <c r="C95" s="86"/>
      <c r="D95" s="86"/>
      <c r="E95" s="86"/>
      <c r="F95" s="86"/>
      <c r="G95" s="84"/>
      <c r="H95" s="84"/>
      <c r="I95" s="84"/>
      <c r="J95" s="84"/>
      <c r="K95" s="84"/>
      <c r="L95" s="84"/>
      <c r="M95" s="84"/>
      <c r="N95" s="84"/>
      <c r="O95" s="84"/>
      <c r="P95" s="84"/>
      <c r="Q95" s="84"/>
      <c r="R95" s="84"/>
      <c r="S95" s="84"/>
      <c r="T95" s="84"/>
      <c r="U95" s="84"/>
      <c r="V95" s="84"/>
      <c r="W95" s="84"/>
      <c r="X95" s="84"/>
      <c r="Y95" s="84"/>
      <c r="Z95" s="84"/>
      <c r="AA95" s="84"/>
      <c r="AB95" s="84"/>
      <c r="AC95" s="84"/>
    </row>
    <row r="96" spans="1:29" ht="15.75">
      <c r="A96" s="82"/>
      <c r="B96" s="88"/>
      <c r="C96" s="86"/>
      <c r="D96" s="86"/>
      <c r="E96" s="86"/>
      <c r="F96" s="86"/>
      <c r="G96" s="84"/>
      <c r="H96" s="84"/>
      <c r="I96" s="84"/>
      <c r="J96" s="84"/>
      <c r="K96" s="84"/>
      <c r="L96" s="84"/>
      <c r="M96" s="84"/>
      <c r="N96" s="84"/>
      <c r="O96" s="84"/>
      <c r="P96" s="84"/>
      <c r="Q96" s="84"/>
      <c r="R96" s="84"/>
      <c r="S96" s="84"/>
      <c r="T96" s="84"/>
      <c r="U96" s="84"/>
      <c r="V96" s="84"/>
      <c r="W96" s="84"/>
      <c r="X96" s="84"/>
      <c r="Y96" s="84"/>
      <c r="Z96" s="84"/>
      <c r="AA96" s="84"/>
      <c r="AB96" s="84"/>
      <c r="AC96" s="84"/>
    </row>
    <row r="97" spans="1:29" ht="15.75">
      <c r="A97" s="82"/>
      <c r="B97" s="88"/>
      <c r="C97" s="86"/>
      <c r="D97" s="86"/>
      <c r="E97" s="86"/>
      <c r="F97" s="86"/>
      <c r="G97" s="84"/>
      <c r="H97" s="84"/>
      <c r="I97" s="84"/>
      <c r="J97" s="84"/>
      <c r="K97" s="84"/>
      <c r="L97" s="84"/>
      <c r="M97" s="84"/>
      <c r="N97" s="84"/>
      <c r="O97" s="84"/>
      <c r="P97" s="84"/>
      <c r="Q97" s="84"/>
      <c r="R97" s="84"/>
      <c r="S97" s="84"/>
      <c r="T97" s="84"/>
      <c r="U97" s="84"/>
      <c r="V97" s="84"/>
      <c r="W97" s="84"/>
      <c r="X97" s="84"/>
      <c r="Y97" s="84"/>
      <c r="Z97" s="84"/>
      <c r="AA97" s="84"/>
      <c r="AB97" s="84"/>
      <c r="AC97" s="84"/>
    </row>
    <row r="98" spans="1:29" ht="15.75">
      <c r="A98" s="82"/>
      <c r="B98" s="88"/>
      <c r="C98" s="86"/>
      <c r="D98" s="86"/>
      <c r="E98" s="86"/>
      <c r="F98" s="86"/>
      <c r="G98" s="84"/>
      <c r="H98" s="84"/>
      <c r="I98" s="84"/>
      <c r="J98" s="84"/>
      <c r="K98" s="84"/>
      <c r="L98" s="84"/>
      <c r="M98" s="84"/>
      <c r="N98" s="84"/>
      <c r="O98" s="84"/>
      <c r="P98" s="84"/>
      <c r="Q98" s="84"/>
      <c r="R98" s="84"/>
      <c r="S98" s="84"/>
      <c r="T98" s="84"/>
      <c r="U98" s="84"/>
      <c r="V98" s="84"/>
      <c r="W98" s="84"/>
      <c r="X98" s="84"/>
      <c r="Y98" s="84"/>
      <c r="Z98" s="84"/>
      <c r="AA98" s="84"/>
      <c r="AB98" s="84"/>
      <c r="AC98" s="84"/>
    </row>
    <row r="99" spans="1:29" ht="15.75">
      <c r="A99" s="82"/>
      <c r="B99" s="88"/>
      <c r="C99" s="86"/>
      <c r="D99" s="86"/>
      <c r="E99" s="86"/>
      <c r="F99" s="86"/>
      <c r="G99" s="84"/>
      <c r="H99" s="84"/>
      <c r="I99" s="84"/>
      <c r="J99" s="84"/>
      <c r="K99" s="84"/>
      <c r="L99" s="84"/>
      <c r="M99" s="84"/>
      <c r="N99" s="84"/>
      <c r="O99" s="84"/>
      <c r="P99" s="84"/>
      <c r="Q99" s="84"/>
      <c r="R99" s="84"/>
      <c r="S99" s="84"/>
      <c r="T99" s="84"/>
      <c r="U99" s="84"/>
      <c r="V99" s="84"/>
      <c r="W99" s="84"/>
      <c r="X99" s="84"/>
      <c r="Y99" s="84"/>
      <c r="Z99" s="84"/>
      <c r="AA99" s="84"/>
      <c r="AB99" s="84"/>
      <c r="AC99" s="84"/>
    </row>
    <row r="100" spans="1:29" ht="15.75">
      <c r="A100" s="82"/>
      <c r="B100" s="88"/>
      <c r="C100" s="86"/>
      <c r="D100" s="86"/>
      <c r="E100" s="86"/>
      <c r="F100" s="86"/>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row>
    <row r="101" spans="1:29" ht="15.75">
      <c r="A101" s="82"/>
      <c r="B101" s="88"/>
      <c r="C101" s="86"/>
      <c r="D101" s="86"/>
      <c r="E101" s="86"/>
      <c r="F101" s="86"/>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row>
    <row r="102" spans="1:29" ht="15.75">
      <c r="A102" s="82"/>
      <c r="B102" s="88"/>
      <c r="C102" s="86"/>
      <c r="D102" s="86"/>
      <c r="E102" s="86"/>
      <c r="F102" s="86"/>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row>
    <row r="103" spans="1:29" ht="15.75">
      <c r="A103" s="82"/>
      <c r="B103" s="88"/>
      <c r="C103" s="86"/>
      <c r="D103" s="86"/>
      <c r="E103" s="86"/>
      <c r="F103" s="86"/>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row>
    <row r="104" spans="1:29" ht="15.75">
      <c r="A104" s="82"/>
      <c r="B104" s="88"/>
      <c r="C104" s="86"/>
      <c r="D104" s="86"/>
      <c r="E104" s="86"/>
      <c r="F104" s="86"/>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row>
    <row r="105" spans="1:29" ht="15.75">
      <c r="A105" s="82"/>
      <c r="B105" s="88"/>
      <c r="C105" s="86"/>
      <c r="D105" s="86"/>
      <c r="E105" s="86"/>
      <c r="F105" s="86"/>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row>
    <row r="106" spans="1:29" ht="15.75">
      <c r="A106" s="82"/>
      <c r="B106" s="88"/>
      <c r="C106" s="86"/>
      <c r="D106" s="86"/>
      <c r="E106" s="86"/>
      <c r="F106" s="86"/>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row>
    <row r="107" spans="1:29" ht="15.75">
      <c r="A107" s="82"/>
      <c r="B107" s="88"/>
      <c r="C107" s="86"/>
      <c r="D107" s="86"/>
      <c r="E107" s="86"/>
      <c r="F107" s="86"/>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row>
    <row r="108" spans="1:29" ht="15.75">
      <c r="A108" s="82"/>
      <c r="B108" s="88"/>
      <c r="C108" s="86"/>
      <c r="D108" s="86"/>
      <c r="E108" s="86"/>
      <c r="F108" s="86"/>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row>
    <row r="109" spans="1:29" ht="15.75">
      <c r="A109" s="82"/>
      <c r="B109" s="88"/>
      <c r="C109" s="86"/>
      <c r="D109" s="86"/>
      <c r="E109" s="86"/>
      <c r="F109" s="86"/>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row>
    <row r="110" spans="1:29" ht="15.75">
      <c r="A110" s="82"/>
      <c r="B110" s="88"/>
      <c r="C110" s="86"/>
      <c r="D110" s="86"/>
      <c r="E110" s="86"/>
      <c r="F110" s="86"/>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row>
    <row r="111" spans="1:29" ht="15.75">
      <c r="A111" s="82"/>
      <c r="B111" s="88"/>
      <c r="C111" s="86"/>
      <c r="D111" s="86"/>
      <c r="E111" s="86"/>
      <c r="F111" s="86"/>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row>
    <row r="112" spans="1:29" ht="15.75">
      <c r="A112" s="82"/>
      <c r="B112" s="88"/>
      <c r="C112" s="86"/>
      <c r="D112" s="86"/>
      <c r="E112" s="86"/>
      <c r="F112" s="86"/>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row>
    <row r="113" spans="1:29" ht="15.75">
      <c r="A113" s="82"/>
      <c r="B113" s="88"/>
      <c r="C113" s="86"/>
      <c r="D113" s="86"/>
      <c r="E113" s="86"/>
      <c r="F113" s="86"/>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row>
    <row r="114" spans="1:29" ht="15.75">
      <c r="A114" s="82"/>
      <c r="B114" s="88"/>
      <c r="C114" s="86"/>
      <c r="D114" s="86"/>
      <c r="E114" s="86"/>
      <c r="F114" s="86"/>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row>
    <row r="115" spans="1:29" ht="15.75">
      <c r="A115" s="82"/>
      <c r="B115" s="88"/>
      <c r="C115" s="86"/>
      <c r="D115" s="86"/>
      <c r="E115" s="86"/>
      <c r="F115" s="86"/>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row>
    <row r="116" spans="1:29" ht="15.75">
      <c r="A116" s="82"/>
      <c r="B116" s="88"/>
      <c r="C116" s="86"/>
      <c r="D116" s="86"/>
      <c r="E116" s="86"/>
      <c r="F116" s="86"/>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row>
    <row r="117" spans="1:29" ht="15.75">
      <c r="A117" s="82"/>
      <c r="B117" s="88"/>
      <c r="C117" s="86"/>
      <c r="D117" s="86"/>
      <c r="E117" s="86"/>
      <c r="F117" s="86"/>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row>
    <row r="118" spans="1:29" ht="15.75">
      <c r="A118" s="82"/>
      <c r="B118" s="88"/>
      <c r="C118" s="86"/>
      <c r="D118" s="86"/>
      <c r="E118" s="86"/>
      <c r="F118" s="86"/>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row>
    <row r="119" spans="1:29" ht="15.75">
      <c r="A119" s="82"/>
      <c r="B119" s="88"/>
      <c r="C119" s="86"/>
      <c r="D119" s="86"/>
      <c r="E119" s="86"/>
      <c r="F119" s="86"/>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row>
    <row r="120" spans="1:29" ht="15.75">
      <c r="A120" s="82"/>
      <c r="B120" s="88"/>
      <c r="C120" s="86"/>
      <c r="D120" s="86"/>
      <c r="E120" s="86"/>
      <c r="F120" s="86"/>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row>
    <row r="121" spans="1:29" ht="15.75">
      <c r="A121" s="82"/>
      <c r="B121" s="88"/>
      <c r="C121" s="86"/>
      <c r="D121" s="86"/>
      <c r="E121" s="86"/>
      <c r="F121" s="86"/>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row>
    <row r="122" spans="1:29" ht="15.75">
      <c r="A122" s="82"/>
      <c r="B122" s="88"/>
      <c r="C122" s="86"/>
      <c r="D122" s="86"/>
      <c r="E122" s="86"/>
      <c r="F122" s="86"/>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row>
    <row r="123" spans="1:29" ht="15.75">
      <c r="A123" s="82"/>
      <c r="B123" s="88"/>
      <c r="C123" s="86"/>
      <c r="D123" s="86"/>
      <c r="E123" s="86"/>
      <c r="F123" s="86"/>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row>
    <row r="124" spans="1:29" ht="15.75">
      <c r="A124" s="82"/>
      <c r="B124" s="88"/>
      <c r="C124" s="86"/>
      <c r="D124" s="86"/>
      <c r="E124" s="86"/>
      <c r="F124" s="86"/>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row>
    <row r="125" spans="1:29" ht="15.75">
      <c r="A125" s="82"/>
      <c r="B125" s="88"/>
      <c r="C125" s="86"/>
      <c r="D125" s="86"/>
      <c r="E125" s="86"/>
      <c r="F125" s="86"/>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row>
    <row r="126" spans="1:29" ht="15.75">
      <c r="A126" s="82"/>
      <c r="B126" s="88"/>
      <c r="C126" s="86"/>
      <c r="D126" s="86"/>
      <c r="E126" s="86"/>
      <c r="F126" s="86"/>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row>
    <row r="127" spans="1:29" ht="15.75">
      <c r="A127" s="82"/>
      <c r="B127" s="88"/>
      <c r="C127" s="86"/>
      <c r="D127" s="86"/>
      <c r="E127" s="86"/>
      <c r="F127" s="86"/>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row>
    <row r="128" spans="1:29" ht="15.75">
      <c r="A128" s="82"/>
      <c r="B128" s="88"/>
      <c r="C128" s="86"/>
      <c r="D128" s="86"/>
      <c r="E128" s="86"/>
      <c r="F128" s="86"/>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row>
    <row r="129" spans="1:29" ht="15.75">
      <c r="A129" s="82"/>
      <c r="B129" s="88"/>
      <c r="C129" s="86"/>
      <c r="D129" s="86"/>
      <c r="E129" s="86"/>
      <c r="F129" s="86"/>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row>
    <row r="130" spans="1:29" ht="15.75">
      <c r="A130" s="82"/>
      <c r="B130" s="88"/>
      <c r="C130" s="86"/>
      <c r="D130" s="86"/>
      <c r="E130" s="86"/>
      <c r="F130" s="86"/>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row>
    <row r="131" spans="1:29" ht="15.75">
      <c r="A131" s="82"/>
      <c r="B131" s="88"/>
      <c r="C131" s="86"/>
      <c r="D131" s="86"/>
      <c r="E131" s="86"/>
      <c r="F131" s="86"/>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row>
    <row r="132" spans="1:29" ht="15.75">
      <c r="A132" s="82"/>
      <c r="B132" s="88"/>
      <c r="C132" s="86"/>
      <c r="D132" s="86"/>
      <c r="E132" s="86"/>
      <c r="F132" s="86"/>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row>
    <row r="133" spans="1:29" ht="15.75">
      <c r="A133" s="82"/>
      <c r="B133" s="88"/>
      <c r="C133" s="86"/>
      <c r="D133" s="86"/>
      <c r="E133" s="86"/>
      <c r="F133" s="86"/>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row>
    <row r="134" spans="1:29" ht="15.75">
      <c r="A134" s="82"/>
      <c r="B134" s="88"/>
      <c r="C134" s="86"/>
      <c r="D134" s="86"/>
      <c r="E134" s="86"/>
      <c r="F134" s="86"/>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row>
    <row r="135" spans="1:29" ht="15.75">
      <c r="A135" s="82"/>
      <c r="B135" s="88"/>
      <c r="C135" s="86"/>
      <c r="D135" s="86"/>
      <c r="E135" s="86"/>
      <c r="F135" s="86"/>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row>
    <row r="136" spans="1:29" ht="15.75">
      <c r="A136" s="82"/>
      <c r="B136" s="88"/>
      <c r="C136" s="86"/>
      <c r="D136" s="86"/>
      <c r="E136" s="86"/>
      <c r="F136" s="86"/>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row>
    <row r="137" spans="1:29" ht="15.75">
      <c r="A137" s="82"/>
      <c r="B137" s="88"/>
      <c r="C137" s="86"/>
      <c r="D137" s="86"/>
      <c r="E137" s="86"/>
      <c r="F137" s="86"/>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row>
    <row r="138" spans="1:29" ht="15.75">
      <c r="A138" s="82"/>
      <c r="B138" s="88"/>
      <c r="C138" s="86"/>
      <c r="D138" s="86"/>
      <c r="E138" s="86"/>
      <c r="F138" s="86"/>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row>
    <row r="139" spans="1:29" ht="15.75">
      <c r="A139" s="82"/>
      <c r="B139" s="88"/>
      <c r="C139" s="86"/>
      <c r="D139" s="86"/>
      <c r="E139" s="86"/>
      <c r="F139" s="86"/>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row>
    <row r="140" spans="1:29" ht="15.75">
      <c r="A140" s="82"/>
      <c r="B140" s="88"/>
      <c r="C140" s="86"/>
      <c r="D140" s="86"/>
      <c r="E140" s="86"/>
      <c r="F140" s="86"/>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row>
    <row r="141" spans="1:29" ht="15.75">
      <c r="A141" s="82"/>
      <c r="B141" s="88"/>
      <c r="C141" s="86"/>
      <c r="D141" s="86"/>
      <c r="E141" s="86"/>
      <c r="F141" s="86"/>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row>
    <row r="142" spans="1:29" ht="15.75">
      <c r="A142" s="82"/>
      <c r="B142" s="88"/>
      <c r="C142" s="86"/>
      <c r="D142" s="86"/>
      <c r="E142" s="86"/>
      <c r="F142" s="86"/>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row>
    <row r="143" spans="1:29" ht="15.75">
      <c r="A143" s="82"/>
      <c r="B143" s="88"/>
      <c r="C143" s="86"/>
      <c r="D143" s="86"/>
      <c r="E143" s="86"/>
      <c r="F143" s="86"/>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row>
    <row r="144" spans="1:29" ht="15.75">
      <c r="A144" s="82"/>
      <c r="B144" s="88"/>
      <c r="C144" s="86"/>
      <c r="D144" s="86"/>
      <c r="E144" s="86"/>
      <c r="F144" s="86"/>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row>
    <row r="145" spans="1:29" ht="15.75">
      <c r="A145" s="82"/>
      <c r="B145" s="88"/>
      <c r="C145" s="86"/>
      <c r="D145" s="86"/>
      <c r="E145" s="86"/>
      <c r="F145" s="86"/>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row>
    <row r="146" spans="1:29" ht="15.75">
      <c r="A146" s="82"/>
      <c r="B146" s="88"/>
      <c r="C146" s="86"/>
      <c r="D146" s="86"/>
      <c r="E146" s="86"/>
      <c r="F146" s="86"/>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row>
    <row r="147" spans="1:29" ht="15.75">
      <c r="A147" s="82"/>
      <c r="B147" s="88"/>
      <c r="C147" s="86"/>
      <c r="D147" s="86"/>
      <c r="E147" s="86"/>
      <c r="F147" s="86"/>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row>
    <row r="148" spans="1:29" ht="15.75">
      <c r="A148" s="82"/>
      <c r="B148" s="88"/>
      <c r="C148" s="86"/>
      <c r="D148" s="86"/>
      <c r="E148" s="86"/>
      <c r="F148" s="86"/>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row>
    <row r="149" spans="1:29" ht="15.75">
      <c r="A149" s="82"/>
      <c r="B149" s="88"/>
      <c r="C149" s="86"/>
      <c r="D149" s="86"/>
      <c r="E149" s="86"/>
      <c r="F149" s="86"/>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row>
    <row r="150" spans="1:29" ht="15.75">
      <c r="A150" s="82"/>
      <c r="B150" s="88"/>
      <c r="C150" s="86"/>
      <c r="D150" s="86"/>
      <c r="E150" s="86"/>
      <c r="F150" s="86"/>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row>
    <row r="151" spans="1:29" ht="15.75">
      <c r="A151" s="82"/>
      <c r="B151" s="88"/>
      <c r="C151" s="86"/>
      <c r="D151" s="86"/>
      <c r="E151" s="86"/>
      <c r="F151" s="86"/>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row>
    <row r="152" spans="1:29" ht="15.75">
      <c r="A152" s="82"/>
      <c r="B152" s="88"/>
      <c r="C152" s="86"/>
      <c r="D152" s="86"/>
      <c r="E152" s="86"/>
      <c r="F152" s="86"/>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row>
    <row r="153" spans="1:29" ht="15.75">
      <c r="A153" s="82"/>
      <c r="B153" s="88"/>
      <c r="C153" s="86"/>
      <c r="D153" s="86"/>
      <c r="E153" s="86"/>
      <c r="F153" s="86"/>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row>
    <row r="154" spans="1:29" ht="15.75">
      <c r="A154" s="82"/>
      <c r="B154" s="88"/>
      <c r="C154" s="86"/>
      <c r="D154" s="86"/>
      <c r="E154" s="86"/>
      <c r="F154" s="86"/>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row>
    <row r="155" spans="1:29" ht="15.75">
      <c r="A155" s="82"/>
      <c r="B155" s="88"/>
      <c r="C155" s="86"/>
      <c r="D155" s="86"/>
      <c r="E155" s="86"/>
      <c r="F155" s="86"/>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row>
    <row r="156" spans="1:29" ht="15.75">
      <c r="A156" s="82"/>
      <c r="B156" s="88"/>
      <c r="C156" s="86"/>
      <c r="D156" s="86"/>
      <c r="E156" s="86"/>
      <c r="F156" s="86"/>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row>
    <row r="157" spans="1:29" ht="15.75">
      <c r="A157" s="82"/>
      <c r="B157" s="88"/>
      <c r="C157" s="86"/>
      <c r="D157" s="86"/>
      <c r="E157" s="86"/>
      <c r="F157" s="86"/>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row>
    <row r="158" spans="1:29" ht="15.75">
      <c r="A158" s="82"/>
      <c r="B158" s="88"/>
      <c r="C158" s="86"/>
      <c r="D158" s="86"/>
      <c r="E158" s="86"/>
      <c r="F158" s="86"/>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row>
    <row r="159" spans="1:29" ht="15.75">
      <c r="A159" s="82"/>
      <c r="B159" s="88"/>
      <c r="C159" s="86"/>
      <c r="D159" s="86"/>
      <c r="E159" s="86"/>
      <c r="F159" s="86"/>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row>
    <row r="160" spans="1:29" ht="15.75">
      <c r="A160" s="82"/>
      <c r="B160" s="88"/>
      <c r="C160" s="86"/>
      <c r="D160" s="86"/>
      <c r="E160" s="86"/>
      <c r="F160" s="86"/>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row>
    <row r="161" spans="1:29" ht="15.75">
      <c r="A161" s="82"/>
      <c r="B161" s="88"/>
      <c r="C161" s="86"/>
      <c r="D161" s="86"/>
      <c r="E161" s="86"/>
      <c r="F161" s="86"/>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row>
    <row r="162" spans="1:29" ht="15.75">
      <c r="A162" s="82"/>
      <c r="B162" s="88"/>
      <c r="C162" s="86"/>
      <c r="D162" s="86"/>
      <c r="E162" s="86"/>
      <c r="F162" s="86"/>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row>
    <row r="163" spans="1:29" ht="15.75">
      <c r="A163" s="82"/>
      <c r="B163" s="88"/>
      <c r="C163" s="86"/>
      <c r="D163" s="86"/>
      <c r="E163" s="86"/>
      <c r="F163" s="86"/>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row>
    <row r="164" spans="1:29" ht="15.75">
      <c r="A164" s="82"/>
      <c r="B164" s="88"/>
      <c r="C164" s="86"/>
      <c r="D164" s="86"/>
      <c r="E164" s="86"/>
      <c r="F164" s="86"/>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row>
    <row r="165" spans="1:29" ht="15.75">
      <c r="A165" s="82"/>
      <c r="B165" s="88"/>
      <c r="C165" s="86"/>
      <c r="D165" s="86"/>
      <c r="E165" s="86"/>
      <c r="F165" s="86"/>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row>
    <row r="166" spans="1:29" ht="15.75">
      <c r="A166" s="82"/>
      <c r="B166" s="88"/>
      <c r="C166" s="86"/>
      <c r="D166" s="86"/>
      <c r="E166" s="86"/>
      <c r="F166" s="86"/>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row>
    <row r="167" spans="1:29" ht="15.75">
      <c r="A167" s="82"/>
      <c r="B167" s="88"/>
      <c r="C167" s="86"/>
      <c r="D167" s="86"/>
      <c r="E167" s="86"/>
      <c r="F167" s="86"/>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row>
    <row r="168" spans="1:29" ht="15.75">
      <c r="A168" s="82"/>
      <c r="B168" s="88"/>
      <c r="C168" s="86"/>
      <c r="D168" s="86"/>
      <c r="E168" s="86"/>
      <c r="F168" s="86"/>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row>
    <row r="169" spans="1:29" ht="15.75">
      <c r="A169" s="82"/>
      <c r="B169" s="88"/>
      <c r="C169" s="86"/>
      <c r="D169" s="86"/>
      <c r="E169" s="86"/>
      <c r="F169" s="86"/>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row>
    <row r="170" spans="1:29" ht="15.75">
      <c r="A170" s="82"/>
      <c r="B170" s="88"/>
      <c r="C170" s="86"/>
      <c r="D170" s="86"/>
      <c r="E170" s="86"/>
      <c r="F170" s="86"/>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row>
    <row r="171" spans="1:29" ht="15.75">
      <c r="A171" s="82"/>
      <c r="B171" s="88"/>
      <c r="C171" s="86"/>
      <c r="D171" s="86"/>
      <c r="E171" s="86"/>
      <c r="F171" s="86"/>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row>
    <row r="172" spans="1:29" ht="15.75">
      <c r="A172" s="82"/>
      <c r="B172" s="88"/>
      <c r="C172" s="86"/>
      <c r="D172" s="86"/>
      <c r="E172" s="86"/>
      <c r="F172" s="86"/>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row>
    <row r="173" spans="1:29" ht="15.75">
      <c r="A173" s="82"/>
      <c r="B173" s="88"/>
      <c r="C173" s="86"/>
      <c r="D173" s="86"/>
      <c r="E173" s="86"/>
      <c r="F173" s="86"/>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row>
    <row r="174" spans="1:29" ht="15.75">
      <c r="A174" s="82"/>
      <c r="B174" s="88"/>
      <c r="C174" s="86"/>
      <c r="D174" s="86"/>
      <c r="E174" s="86"/>
      <c r="F174" s="86"/>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row>
    <row r="175" spans="1:29" ht="15.75">
      <c r="A175" s="82"/>
      <c r="B175" s="88"/>
      <c r="C175" s="86"/>
      <c r="D175" s="86"/>
      <c r="E175" s="86"/>
      <c r="F175" s="86"/>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row>
    <row r="176" spans="1:29" ht="15.75">
      <c r="A176" s="82"/>
      <c r="B176" s="88"/>
      <c r="C176" s="86"/>
      <c r="D176" s="86"/>
      <c r="E176" s="86"/>
      <c r="F176" s="86"/>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row>
    <row r="177" spans="1:29" ht="15.75">
      <c r="A177" s="82"/>
      <c r="B177" s="88"/>
      <c r="C177" s="86"/>
      <c r="D177" s="86"/>
      <c r="E177" s="86"/>
      <c r="F177" s="86"/>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row>
    <row r="178" spans="1:29" ht="15.75">
      <c r="A178" s="82"/>
      <c r="B178" s="88"/>
      <c r="C178" s="86"/>
      <c r="D178" s="86"/>
      <c r="E178" s="86"/>
      <c r="F178" s="86"/>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row>
    <row r="179" spans="1:29" ht="15.75">
      <c r="A179" s="82"/>
      <c r="B179" s="88"/>
      <c r="C179" s="86"/>
      <c r="D179" s="86"/>
      <c r="E179" s="86"/>
      <c r="F179" s="86"/>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row>
    <row r="180" spans="1:29" ht="15.75">
      <c r="A180" s="82"/>
      <c r="B180" s="88"/>
      <c r="C180" s="86"/>
      <c r="D180" s="86"/>
      <c r="E180" s="86"/>
      <c r="F180" s="86"/>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row>
    <row r="181" spans="1:29" ht="15.75">
      <c r="A181" s="82"/>
      <c r="B181" s="88"/>
      <c r="C181" s="86"/>
      <c r="D181" s="86"/>
      <c r="E181" s="86"/>
      <c r="F181" s="86"/>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row>
    <row r="182" spans="1:29" ht="15.75">
      <c r="A182" s="82"/>
      <c r="B182" s="88"/>
      <c r="C182" s="86"/>
      <c r="D182" s="86"/>
      <c r="E182" s="86"/>
      <c r="F182" s="86"/>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row>
    <row r="183" spans="1:29" ht="15.75">
      <c r="A183" s="82"/>
      <c r="B183" s="88"/>
      <c r="C183" s="86"/>
      <c r="D183" s="86"/>
      <c r="E183" s="86"/>
      <c r="F183" s="86"/>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row>
    <row r="184" spans="1:29" ht="15.75">
      <c r="A184" s="82"/>
      <c r="B184" s="88"/>
      <c r="C184" s="86"/>
      <c r="D184" s="86"/>
      <c r="E184" s="86"/>
      <c r="F184" s="86"/>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row>
    <row r="185" spans="1:29" ht="15.75">
      <c r="A185" s="82"/>
      <c r="B185" s="88"/>
      <c r="C185" s="86"/>
      <c r="D185" s="86"/>
      <c r="E185" s="86"/>
      <c r="F185" s="86"/>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row>
    <row r="186" spans="1:29" ht="15.75">
      <c r="A186" s="82"/>
      <c r="B186" s="88"/>
      <c r="C186" s="86"/>
      <c r="D186" s="86"/>
      <c r="E186" s="86"/>
      <c r="F186" s="86"/>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row>
    <row r="187" spans="1:29" ht="15.75">
      <c r="A187" s="82"/>
      <c r="B187" s="88"/>
      <c r="C187" s="86"/>
      <c r="D187" s="86"/>
      <c r="E187" s="86"/>
      <c r="F187" s="86"/>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row>
    <row r="188" spans="1:29" ht="15.75">
      <c r="A188" s="82"/>
      <c r="B188" s="88"/>
      <c r="C188" s="86"/>
      <c r="D188" s="86"/>
      <c r="E188" s="86"/>
      <c r="F188" s="86"/>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row>
    <row r="189" spans="1:29" ht="15.75">
      <c r="A189" s="82"/>
      <c r="B189" s="88"/>
      <c r="C189" s="86"/>
      <c r="D189" s="86"/>
      <c r="E189" s="86"/>
      <c r="F189" s="86"/>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row>
    <row r="190" spans="1:29" ht="15.75">
      <c r="A190" s="82"/>
      <c r="B190" s="88"/>
      <c r="C190" s="86"/>
      <c r="D190" s="86"/>
      <c r="E190" s="86"/>
      <c r="F190" s="86"/>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row>
    <row r="191" spans="1:29" ht="15.75">
      <c r="A191" s="82"/>
      <c r="B191" s="88"/>
      <c r="C191" s="86"/>
      <c r="D191" s="86"/>
      <c r="E191" s="86"/>
      <c r="F191" s="86"/>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row>
    <row r="192" spans="1:29" ht="15.75">
      <c r="A192" s="82"/>
      <c r="B192" s="88"/>
      <c r="C192" s="86"/>
      <c r="D192" s="86"/>
      <c r="E192" s="86"/>
      <c r="F192" s="86"/>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row>
    <row r="193" spans="1:29" ht="15.75">
      <c r="A193" s="82"/>
      <c r="B193" s="88"/>
      <c r="C193" s="86"/>
      <c r="D193" s="86"/>
      <c r="E193" s="86"/>
      <c r="F193" s="86"/>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row>
    <row r="194" spans="1:29" ht="15.75">
      <c r="A194" s="82"/>
      <c r="B194" s="88"/>
      <c r="C194" s="86"/>
      <c r="D194" s="86"/>
      <c r="E194" s="86"/>
      <c r="F194" s="86"/>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row>
    <row r="195" spans="1:29" ht="15.75">
      <c r="A195" s="82"/>
      <c r="B195" s="88"/>
      <c r="C195" s="86"/>
      <c r="D195" s="86"/>
      <c r="E195" s="86"/>
      <c r="F195" s="86"/>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row>
    <row r="196" spans="1:29" ht="15.75">
      <c r="A196" s="82"/>
      <c r="B196" s="88"/>
      <c r="C196" s="86"/>
      <c r="D196" s="86"/>
      <c r="E196" s="86"/>
      <c r="F196" s="86"/>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row>
    <row r="197" spans="1:29" ht="15.75">
      <c r="A197" s="82"/>
      <c r="B197" s="88"/>
      <c r="C197" s="86"/>
      <c r="D197" s="86"/>
      <c r="E197" s="86"/>
      <c r="F197" s="86"/>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row>
    <row r="198" spans="1:29" ht="15.75">
      <c r="A198" s="82"/>
      <c r="B198" s="88"/>
      <c r="C198" s="86"/>
      <c r="D198" s="86"/>
      <c r="E198" s="86"/>
      <c r="F198" s="86"/>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row>
    <row r="199" spans="1:29" ht="15.75">
      <c r="A199" s="82"/>
      <c r="B199" s="88"/>
      <c r="C199" s="86"/>
      <c r="D199" s="86"/>
      <c r="E199" s="86"/>
      <c r="F199" s="86"/>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row>
    <row r="200" spans="1:29" ht="15.75">
      <c r="A200" s="82"/>
      <c r="B200" s="88"/>
      <c r="C200" s="86"/>
      <c r="D200" s="86"/>
      <c r="E200" s="86"/>
      <c r="F200" s="86"/>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row>
    <row r="201" spans="1:29" ht="15.75">
      <c r="A201" s="82"/>
      <c r="B201" s="88"/>
      <c r="C201" s="86"/>
      <c r="D201" s="86"/>
      <c r="E201" s="86"/>
      <c r="F201" s="86"/>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row>
    <row r="202" spans="1:29" ht="15.75">
      <c r="A202" s="82"/>
      <c r="B202" s="88"/>
      <c r="C202" s="86"/>
      <c r="D202" s="86"/>
      <c r="E202" s="86"/>
      <c r="F202" s="86"/>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row>
    <row r="203" spans="1:29" ht="15.75">
      <c r="A203" s="82"/>
      <c r="B203" s="88"/>
      <c r="C203" s="86"/>
      <c r="D203" s="86"/>
      <c r="E203" s="86"/>
      <c r="F203" s="86"/>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row>
    <row r="204" spans="1:29" ht="15.75">
      <c r="A204" s="82"/>
      <c r="B204" s="88"/>
      <c r="C204" s="86"/>
      <c r="D204" s="86"/>
      <c r="E204" s="86"/>
      <c r="F204" s="86"/>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row>
    <row r="205" spans="1:29" ht="15.75">
      <c r="A205" s="82"/>
      <c r="B205" s="88"/>
      <c r="C205" s="86"/>
      <c r="D205" s="86"/>
      <c r="E205" s="86"/>
      <c r="F205" s="86"/>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row>
    <row r="206" spans="1:29" ht="15.75">
      <c r="A206" s="82"/>
      <c r="B206" s="88"/>
      <c r="C206" s="86"/>
      <c r="D206" s="86"/>
      <c r="E206" s="86"/>
      <c r="F206" s="86"/>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row>
    <row r="207" spans="1:29" ht="15.75">
      <c r="A207" s="82"/>
      <c r="B207" s="88"/>
      <c r="C207" s="86"/>
      <c r="D207" s="86"/>
      <c r="E207" s="86"/>
      <c r="F207" s="86"/>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row>
    <row r="208" spans="1:29" ht="15.75">
      <c r="A208" s="82"/>
      <c r="B208" s="88"/>
      <c r="C208" s="86"/>
      <c r="D208" s="86"/>
      <c r="E208" s="86"/>
      <c r="F208" s="86"/>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row>
    <row r="209" spans="1:29" ht="15.75">
      <c r="A209" s="82"/>
      <c r="B209" s="88"/>
      <c r="C209" s="86"/>
      <c r="D209" s="86"/>
      <c r="E209" s="86"/>
      <c r="F209" s="86"/>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row>
    <row r="210" spans="1:29" ht="15.75">
      <c r="A210" s="82"/>
      <c r="B210" s="88"/>
      <c r="C210" s="86"/>
      <c r="D210" s="86"/>
      <c r="E210" s="86"/>
      <c r="F210" s="86"/>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row>
    <row r="211" spans="1:29" ht="15.75">
      <c r="A211" s="82"/>
      <c r="B211" s="88"/>
      <c r="C211" s="86"/>
      <c r="D211" s="86"/>
      <c r="E211" s="86"/>
      <c r="F211" s="86"/>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row>
    <row r="212" spans="1:29" ht="15.75">
      <c r="A212" s="82"/>
      <c r="B212" s="88"/>
      <c r="C212" s="86"/>
      <c r="D212" s="86"/>
      <c r="E212" s="86"/>
      <c r="F212" s="86"/>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row>
    <row r="213" spans="1:29" ht="15.75">
      <c r="A213" s="82"/>
      <c r="B213" s="88"/>
      <c r="C213" s="86"/>
      <c r="D213" s="86"/>
      <c r="E213" s="86"/>
      <c r="F213" s="86"/>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row>
    <row r="214" spans="1:29" ht="15.75">
      <c r="A214" s="82"/>
      <c r="B214" s="88"/>
      <c r="C214" s="86"/>
      <c r="D214" s="86"/>
      <c r="E214" s="86"/>
      <c r="F214" s="86"/>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row>
    <row r="215" spans="1:29" ht="15.75">
      <c r="A215" s="82"/>
      <c r="B215" s="88"/>
      <c r="C215" s="86"/>
      <c r="D215" s="86"/>
      <c r="E215" s="86"/>
      <c r="F215" s="86"/>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row>
    <row r="216" spans="1:29" ht="15.75">
      <c r="A216" s="82"/>
      <c r="B216" s="88"/>
      <c r="C216" s="86"/>
      <c r="D216" s="86"/>
      <c r="E216" s="86"/>
      <c r="F216" s="86"/>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row>
    <row r="217" spans="1:29" ht="15.75">
      <c r="A217" s="82"/>
      <c r="B217" s="88"/>
      <c r="C217" s="86"/>
      <c r="D217" s="86"/>
      <c r="E217" s="86"/>
      <c r="F217" s="86"/>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row>
    <row r="218" spans="1:29" ht="15.75">
      <c r="A218" s="82"/>
      <c r="B218" s="88"/>
      <c r="C218" s="86"/>
      <c r="D218" s="86"/>
      <c r="E218" s="86"/>
      <c r="F218" s="86"/>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row>
    <row r="219" spans="1:29" ht="15.75">
      <c r="A219" s="82"/>
      <c r="B219" s="88"/>
      <c r="C219" s="86"/>
      <c r="D219" s="86"/>
      <c r="E219" s="86"/>
      <c r="F219" s="86"/>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row>
    <row r="220" spans="1:29" ht="15.75">
      <c r="A220" s="82"/>
      <c r="B220" s="88"/>
      <c r="C220" s="86"/>
      <c r="D220" s="86"/>
      <c r="E220" s="86"/>
      <c r="F220" s="86"/>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row>
    <row r="221" spans="1:29" ht="15.75">
      <c r="A221" s="82"/>
      <c r="B221" s="88"/>
      <c r="C221" s="86"/>
      <c r="D221" s="86"/>
      <c r="E221" s="86"/>
      <c r="F221" s="86"/>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row>
    <row r="222" spans="1:29" ht="15.75">
      <c r="A222" s="82"/>
      <c r="B222" s="88"/>
      <c r="C222" s="86"/>
      <c r="D222" s="86"/>
      <c r="E222" s="86"/>
      <c r="F222" s="86"/>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row>
    <row r="223" spans="1:29" ht="15.75">
      <c r="A223" s="82"/>
      <c r="B223" s="88"/>
      <c r="C223" s="86"/>
      <c r="D223" s="86"/>
      <c r="E223" s="86"/>
      <c r="F223" s="86"/>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row>
    <row r="224" spans="1:29" ht="15.75">
      <c r="A224" s="82"/>
      <c r="B224" s="88"/>
      <c r="C224" s="86"/>
      <c r="D224" s="86"/>
      <c r="E224" s="86"/>
      <c r="F224" s="86"/>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row>
    <row r="225" spans="1:29" ht="15.75">
      <c r="A225" s="82"/>
      <c r="B225" s="88"/>
      <c r="C225" s="86"/>
      <c r="D225" s="86"/>
      <c r="E225" s="86"/>
      <c r="F225" s="86"/>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row>
    <row r="226" spans="1:29" ht="15.75">
      <c r="A226" s="82"/>
      <c r="B226" s="88"/>
      <c r="C226" s="86"/>
      <c r="D226" s="86"/>
      <c r="E226" s="86"/>
      <c r="F226" s="86"/>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row>
    <row r="227" spans="1:29" ht="15.75">
      <c r="A227" s="82"/>
      <c r="B227" s="88"/>
      <c r="C227" s="86"/>
      <c r="D227" s="86"/>
      <c r="E227" s="86"/>
      <c r="F227" s="86"/>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row>
    <row r="228" spans="1:29" ht="15.75">
      <c r="A228" s="82"/>
      <c r="B228" s="88"/>
      <c r="C228" s="86"/>
      <c r="D228" s="86"/>
      <c r="E228" s="86"/>
      <c r="F228" s="86"/>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row>
    <row r="229" spans="1:29" ht="15.75">
      <c r="A229" s="82"/>
      <c r="B229" s="88"/>
      <c r="C229" s="86"/>
      <c r="D229" s="86"/>
      <c r="E229" s="86"/>
      <c r="F229" s="86"/>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row>
    <row r="230" spans="1:29" ht="15.75">
      <c r="A230" s="82"/>
      <c r="B230" s="88"/>
      <c r="C230" s="86"/>
      <c r="D230" s="86"/>
      <c r="E230" s="86"/>
      <c r="F230" s="86"/>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row>
    <row r="231" spans="1:29" ht="15.75">
      <c r="A231" s="82"/>
      <c r="B231" s="88"/>
      <c r="C231" s="86"/>
      <c r="D231" s="86"/>
      <c r="E231" s="86"/>
      <c r="F231" s="86"/>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row>
    <row r="232" spans="1:29" ht="15.75">
      <c r="A232" s="82"/>
      <c r="B232" s="88"/>
      <c r="C232" s="86"/>
      <c r="D232" s="86"/>
      <c r="E232" s="86"/>
      <c r="F232" s="86"/>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row>
    <row r="233" spans="1:29" ht="15.75">
      <c r="A233" s="82"/>
      <c r="B233" s="88"/>
      <c r="C233" s="86"/>
      <c r="D233" s="86"/>
      <c r="E233" s="86"/>
      <c r="F233" s="86"/>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row>
    <row r="234" spans="1:29" ht="15.75">
      <c r="A234" s="82"/>
      <c r="B234" s="88"/>
      <c r="C234" s="86"/>
      <c r="D234" s="86"/>
      <c r="E234" s="86"/>
      <c r="F234" s="86"/>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row>
    <row r="235" spans="1:29" ht="15.75">
      <c r="A235" s="82"/>
      <c r="B235" s="88"/>
      <c r="C235" s="86"/>
      <c r="D235" s="86"/>
      <c r="E235" s="86"/>
      <c r="F235" s="86"/>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row>
    <row r="236" spans="1:29" ht="15.75">
      <c r="A236" s="82"/>
      <c r="B236" s="88"/>
      <c r="C236" s="86"/>
      <c r="D236" s="86"/>
      <c r="E236" s="86"/>
      <c r="F236" s="86"/>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row>
    <row r="237" spans="1:29" ht="15.75">
      <c r="A237" s="82"/>
      <c r="B237" s="88"/>
      <c r="C237" s="86"/>
      <c r="D237" s="86"/>
      <c r="E237" s="86"/>
      <c r="F237" s="86"/>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row>
    <row r="238" spans="1:29" ht="15.75">
      <c r="A238" s="82"/>
      <c r="B238" s="88"/>
      <c r="C238" s="86"/>
      <c r="D238" s="86"/>
      <c r="E238" s="86"/>
      <c r="F238" s="86"/>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row>
    <row r="239" spans="1:29" ht="15.75">
      <c r="A239" s="82"/>
      <c r="B239" s="88"/>
      <c r="C239" s="86"/>
      <c r="D239" s="86"/>
      <c r="E239" s="86"/>
      <c r="F239" s="86"/>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row>
    <row r="240" spans="1:29" ht="15.75">
      <c r="A240" s="82"/>
      <c r="B240" s="88"/>
      <c r="C240" s="86"/>
      <c r="D240" s="86"/>
      <c r="E240" s="86"/>
      <c r="F240" s="86"/>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row>
    <row r="241" spans="1:29" ht="15.75">
      <c r="A241" s="82"/>
      <c r="B241" s="88"/>
      <c r="C241" s="86"/>
      <c r="D241" s="86"/>
      <c r="E241" s="86"/>
      <c r="F241" s="86"/>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row>
    <row r="242" spans="1:29" ht="15.75">
      <c r="A242" s="82"/>
      <c r="B242" s="88"/>
      <c r="C242" s="86"/>
      <c r="D242" s="86"/>
      <c r="E242" s="86"/>
      <c r="F242" s="86"/>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row>
    <row r="243" spans="1:29" ht="15.75">
      <c r="A243" s="82"/>
      <c r="B243" s="88"/>
      <c r="C243" s="86"/>
      <c r="D243" s="86"/>
      <c r="E243" s="86"/>
      <c r="F243" s="86"/>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row>
    <row r="244" spans="1:29" ht="15.75">
      <c r="A244" s="82"/>
      <c r="B244" s="88"/>
      <c r="C244" s="86"/>
      <c r="D244" s="86"/>
      <c r="E244" s="86"/>
      <c r="F244" s="86"/>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row>
    <row r="245" spans="1:29" ht="15.75">
      <c r="A245" s="82"/>
      <c r="B245" s="88"/>
      <c r="C245" s="86"/>
      <c r="D245" s="86"/>
      <c r="E245" s="86"/>
      <c r="F245" s="86"/>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row>
    <row r="246" spans="1:29" ht="15.75">
      <c r="A246" s="82"/>
      <c r="B246" s="88"/>
      <c r="C246" s="86"/>
      <c r="D246" s="86"/>
      <c r="E246" s="86"/>
      <c r="F246" s="86"/>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row>
    <row r="247" spans="1:29" ht="15.75">
      <c r="A247" s="82"/>
      <c r="B247" s="88"/>
      <c r="C247" s="86"/>
      <c r="D247" s="86"/>
      <c r="E247" s="86"/>
      <c r="F247" s="86"/>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row>
    <row r="248" spans="1:29" ht="15.75">
      <c r="A248" s="82"/>
      <c r="B248" s="88"/>
      <c r="C248" s="86"/>
      <c r="D248" s="86"/>
      <c r="E248" s="86"/>
      <c r="F248" s="86"/>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row>
    <row r="249" spans="1:29" ht="15.75">
      <c r="A249" s="82"/>
      <c r="B249" s="88"/>
      <c r="C249" s="86"/>
      <c r="D249" s="86"/>
      <c r="E249" s="86"/>
      <c r="F249" s="86"/>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row>
    <row r="250" spans="1:29" ht="15.75">
      <c r="A250" s="82"/>
      <c r="B250" s="88"/>
      <c r="C250" s="86"/>
      <c r="D250" s="86"/>
      <c r="E250" s="86"/>
      <c r="F250" s="86"/>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row>
    <row r="251" spans="1:29" ht="15.75">
      <c r="A251" s="82"/>
      <c r="B251" s="88"/>
      <c r="C251" s="86"/>
      <c r="D251" s="86"/>
      <c r="E251" s="86"/>
      <c r="F251" s="86"/>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row>
    <row r="252" spans="1:29" ht="15.75">
      <c r="A252" s="82"/>
      <c r="B252" s="88"/>
      <c r="C252" s="86"/>
      <c r="D252" s="86"/>
      <c r="E252" s="86"/>
      <c r="F252" s="86"/>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row>
    <row r="253" spans="1:29" ht="15.75">
      <c r="A253" s="82"/>
      <c r="B253" s="88"/>
      <c r="C253" s="86"/>
      <c r="D253" s="86"/>
      <c r="E253" s="86"/>
      <c r="F253" s="86"/>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row>
    <row r="254" spans="1:29" ht="15.75">
      <c r="A254" s="82"/>
      <c r="B254" s="88"/>
      <c r="C254" s="86"/>
      <c r="D254" s="86"/>
      <c r="E254" s="86"/>
      <c r="F254" s="86"/>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row>
    <row r="255" spans="1:29" ht="15.75">
      <c r="A255" s="82"/>
      <c r="B255" s="88"/>
      <c r="C255" s="86"/>
      <c r="D255" s="86"/>
      <c r="E255" s="86"/>
      <c r="F255" s="86"/>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row>
    <row r="256" spans="1:29" ht="15.75">
      <c r="A256" s="82"/>
      <c r="B256" s="88"/>
      <c r="C256" s="86"/>
      <c r="D256" s="86"/>
      <c r="E256" s="86"/>
      <c r="F256" s="86"/>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row>
    <row r="257" spans="1:29" ht="15.75">
      <c r="A257" s="82"/>
      <c r="B257" s="88"/>
      <c r="C257" s="86"/>
      <c r="D257" s="86"/>
      <c r="E257" s="86"/>
      <c r="F257" s="86"/>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row>
    <row r="258" spans="1:29" ht="15.75">
      <c r="A258" s="82"/>
      <c r="B258" s="88"/>
      <c r="C258" s="86"/>
      <c r="D258" s="86"/>
      <c r="E258" s="86"/>
      <c r="F258" s="86"/>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row>
    <row r="259" spans="1:29" ht="15.75">
      <c r="A259" s="82"/>
      <c r="B259" s="88"/>
      <c r="C259" s="86"/>
      <c r="D259" s="86"/>
      <c r="E259" s="86"/>
      <c r="F259" s="86"/>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row>
    <row r="260" spans="1:29" ht="15.75">
      <c r="A260" s="82"/>
      <c r="B260" s="88"/>
      <c r="C260" s="86"/>
      <c r="D260" s="86"/>
      <c r="E260" s="86"/>
      <c r="F260" s="86"/>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row>
    <row r="261" spans="1:29" ht="15.75">
      <c r="A261" s="82"/>
      <c r="B261" s="88"/>
      <c r="C261" s="86"/>
      <c r="D261" s="86"/>
      <c r="E261" s="86"/>
      <c r="F261" s="86"/>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row>
    <row r="262" spans="1:29" ht="15.75">
      <c r="A262" s="82"/>
      <c r="B262" s="88"/>
      <c r="C262" s="86"/>
      <c r="D262" s="86"/>
      <c r="E262" s="86"/>
      <c r="F262" s="86"/>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row>
    <row r="263" spans="1:29" ht="15.75">
      <c r="A263" s="82"/>
      <c r="B263" s="88"/>
      <c r="C263" s="86"/>
      <c r="D263" s="86"/>
      <c r="E263" s="86"/>
      <c r="F263" s="86"/>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row>
    <row r="264" spans="1:29" ht="15.75">
      <c r="A264" s="82"/>
      <c r="B264" s="88"/>
      <c r="C264" s="86"/>
      <c r="D264" s="86"/>
      <c r="E264" s="86"/>
      <c r="F264" s="86"/>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row>
    <row r="265" spans="1:29" ht="15.75">
      <c r="A265" s="82"/>
      <c r="B265" s="88"/>
      <c r="C265" s="86"/>
      <c r="D265" s="86"/>
      <c r="E265" s="86"/>
      <c r="F265" s="86"/>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row>
    <row r="266" spans="1:29" ht="15.75">
      <c r="A266" s="82"/>
      <c r="B266" s="88"/>
      <c r="C266" s="86"/>
      <c r="D266" s="86"/>
      <c r="E266" s="86"/>
      <c r="F266" s="86"/>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row>
    <row r="267" spans="1:29" ht="15.75">
      <c r="A267" s="82"/>
      <c r="B267" s="88"/>
      <c r="C267" s="86"/>
      <c r="D267" s="86"/>
      <c r="E267" s="86"/>
      <c r="F267" s="86"/>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row>
    <row r="268" spans="1:29" ht="15.75">
      <c r="A268" s="82"/>
      <c r="B268" s="88"/>
      <c r="C268" s="86"/>
      <c r="D268" s="86"/>
      <c r="E268" s="86"/>
      <c r="F268" s="86"/>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row>
    <row r="269" spans="1:29" ht="15.75">
      <c r="A269" s="82"/>
      <c r="B269" s="88"/>
      <c r="C269" s="86"/>
      <c r="D269" s="86"/>
      <c r="E269" s="86"/>
      <c r="F269" s="86"/>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row>
    <row r="270" spans="1:29" ht="15.75">
      <c r="A270" s="82"/>
      <c r="B270" s="88"/>
      <c r="C270" s="86"/>
      <c r="D270" s="86"/>
      <c r="E270" s="86"/>
      <c r="F270" s="86"/>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row>
    <row r="271" spans="1:29" ht="15.75">
      <c r="A271" s="82"/>
      <c r="B271" s="88"/>
      <c r="C271" s="86"/>
      <c r="D271" s="86"/>
      <c r="E271" s="86"/>
      <c r="F271" s="86"/>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row>
    <row r="272" spans="1:29" ht="15.75">
      <c r="A272" s="82"/>
      <c r="B272" s="88"/>
      <c r="C272" s="86"/>
      <c r="D272" s="86"/>
      <c r="E272" s="86"/>
      <c r="F272" s="86"/>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row>
    <row r="273" spans="1:29" ht="15.75">
      <c r="A273" s="82"/>
      <c r="B273" s="88"/>
      <c r="C273" s="86"/>
      <c r="D273" s="86"/>
      <c r="E273" s="86"/>
      <c r="F273" s="86"/>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row>
    <row r="274" spans="1:29" ht="15.75">
      <c r="A274" s="82"/>
      <c r="B274" s="88"/>
      <c r="C274" s="86"/>
      <c r="D274" s="86"/>
      <c r="E274" s="86"/>
      <c r="F274" s="86"/>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row>
    <row r="275" spans="1:29" ht="15.75">
      <c r="A275" s="82"/>
      <c r="B275" s="88"/>
      <c r="C275" s="86"/>
      <c r="D275" s="86"/>
      <c r="E275" s="86"/>
      <c r="F275" s="86"/>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row>
    <row r="276" spans="1:29" ht="15.75">
      <c r="A276" s="82"/>
      <c r="B276" s="88"/>
      <c r="C276" s="86"/>
      <c r="D276" s="86"/>
      <c r="E276" s="86"/>
      <c r="F276" s="86"/>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row>
    <row r="277" spans="1:29" ht="15.75">
      <c r="A277" s="82"/>
      <c r="B277" s="88"/>
      <c r="C277" s="86"/>
      <c r="D277" s="86"/>
      <c r="E277" s="86"/>
      <c r="F277" s="86"/>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row>
    <row r="278" spans="1:29" ht="15.75">
      <c r="A278" s="82"/>
      <c r="B278" s="88"/>
      <c r="C278" s="86"/>
      <c r="D278" s="86"/>
      <c r="E278" s="86"/>
      <c r="F278" s="86"/>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row>
    <row r="279" spans="1:29" ht="15.75">
      <c r="A279" s="82"/>
      <c r="B279" s="88"/>
      <c r="C279" s="86"/>
      <c r="D279" s="86"/>
      <c r="E279" s="86"/>
      <c r="F279" s="86"/>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row>
    <row r="280" spans="1:29" ht="15.75">
      <c r="A280" s="82"/>
      <c r="B280" s="88"/>
      <c r="C280" s="86"/>
      <c r="D280" s="86"/>
      <c r="E280" s="86"/>
      <c r="F280" s="86"/>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row>
    <row r="281" spans="1:29" ht="15.75">
      <c r="A281" s="82"/>
      <c r="B281" s="88"/>
      <c r="C281" s="86"/>
      <c r="D281" s="86"/>
      <c r="E281" s="86"/>
      <c r="F281" s="86"/>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row>
    <row r="282" spans="1:29" ht="15.75">
      <c r="A282" s="82"/>
      <c r="B282" s="88"/>
      <c r="C282" s="86"/>
      <c r="D282" s="86"/>
      <c r="E282" s="86"/>
      <c r="F282" s="86"/>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row>
    <row r="283" spans="1:29" ht="15.75">
      <c r="A283" s="82"/>
      <c r="B283" s="88"/>
      <c r="C283" s="86"/>
      <c r="D283" s="86"/>
      <c r="E283" s="86"/>
      <c r="F283" s="86"/>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row>
    <row r="284" spans="1:29" ht="15.75">
      <c r="A284" s="82"/>
      <c r="B284" s="88"/>
      <c r="C284" s="86"/>
      <c r="D284" s="86"/>
      <c r="E284" s="86"/>
      <c r="F284" s="86"/>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row>
    <row r="285" spans="1:29" ht="15.75">
      <c r="A285" s="82"/>
      <c r="B285" s="88"/>
      <c r="C285" s="86"/>
      <c r="D285" s="86"/>
      <c r="E285" s="86"/>
      <c r="F285" s="86"/>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row>
    <row r="286" spans="1:29" ht="15.75">
      <c r="A286" s="82"/>
      <c r="B286" s="88"/>
      <c r="C286" s="86"/>
      <c r="D286" s="86"/>
      <c r="E286" s="86"/>
      <c r="F286" s="86"/>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row>
    <row r="287" spans="1:29" ht="15.75">
      <c r="A287" s="82"/>
      <c r="B287" s="88"/>
      <c r="C287" s="86"/>
      <c r="D287" s="86"/>
      <c r="E287" s="86"/>
      <c r="F287" s="86"/>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row>
    <row r="288" spans="1:29" ht="15.75">
      <c r="A288" s="82"/>
      <c r="B288" s="88"/>
      <c r="C288" s="86"/>
      <c r="D288" s="86"/>
      <c r="E288" s="86"/>
      <c r="F288" s="86"/>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row>
    <row r="289" spans="1:29" ht="15.75">
      <c r="A289" s="82"/>
      <c r="B289" s="88"/>
      <c r="C289" s="86"/>
      <c r="D289" s="86"/>
      <c r="E289" s="86"/>
      <c r="F289" s="86"/>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row>
    <row r="290" spans="1:29" ht="15.75">
      <c r="A290" s="82"/>
      <c r="B290" s="88"/>
      <c r="C290" s="86"/>
      <c r="D290" s="86"/>
      <c r="E290" s="86"/>
      <c r="F290" s="86"/>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row>
    <row r="291" spans="1:29" ht="15.75">
      <c r="A291" s="82"/>
      <c r="B291" s="88"/>
      <c r="C291" s="86"/>
      <c r="D291" s="86"/>
      <c r="E291" s="86"/>
      <c r="F291" s="86"/>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row>
    <row r="292" spans="1:29" ht="15.75">
      <c r="A292" s="82"/>
      <c r="B292" s="88"/>
      <c r="C292" s="86"/>
      <c r="D292" s="86"/>
      <c r="E292" s="86"/>
      <c r="F292" s="86"/>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row>
    <row r="293" spans="1:29" ht="15.75">
      <c r="A293" s="82"/>
      <c r="B293" s="88"/>
      <c r="C293" s="86"/>
      <c r="D293" s="86"/>
      <c r="E293" s="86"/>
      <c r="F293" s="86"/>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row>
    <row r="294" spans="1:29" ht="15.75">
      <c r="A294" s="82"/>
      <c r="B294" s="88"/>
      <c r="C294" s="86"/>
      <c r="D294" s="86"/>
      <c r="E294" s="86"/>
      <c r="F294" s="86"/>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row>
    <row r="295" spans="1:29" ht="15.75">
      <c r="A295" s="82"/>
      <c r="B295" s="88"/>
      <c r="C295" s="86"/>
      <c r="D295" s="86"/>
      <c r="E295" s="86"/>
      <c r="F295" s="86"/>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row>
    <row r="296" spans="1:29" ht="15.75">
      <c r="A296" s="82"/>
      <c r="B296" s="88"/>
      <c r="C296" s="86"/>
      <c r="D296" s="86"/>
      <c r="E296" s="86"/>
      <c r="F296" s="86"/>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row>
    <row r="297" spans="1:29" ht="15.75">
      <c r="A297" s="82"/>
      <c r="B297" s="88"/>
      <c r="C297" s="86"/>
      <c r="D297" s="86"/>
      <c r="E297" s="86"/>
      <c r="F297" s="86"/>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row>
    <row r="298" spans="1:29" ht="15.75">
      <c r="A298" s="82"/>
      <c r="B298" s="88"/>
      <c r="C298" s="86"/>
      <c r="D298" s="86"/>
      <c r="E298" s="86"/>
      <c r="F298" s="86"/>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row>
    <row r="299" spans="1:29" ht="15.75">
      <c r="A299" s="82"/>
      <c r="B299" s="88"/>
      <c r="C299" s="86"/>
      <c r="D299" s="86"/>
      <c r="E299" s="86"/>
      <c r="F299" s="86"/>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row>
    <row r="300" spans="1:29" ht="15.75">
      <c r="A300" s="82"/>
      <c r="B300" s="88"/>
      <c r="C300" s="86"/>
      <c r="D300" s="86"/>
      <c r="E300" s="86"/>
      <c r="F300" s="86"/>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row>
    <row r="301" spans="1:29" ht="15.75">
      <c r="A301" s="82"/>
      <c r="B301" s="88"/>
      <c r="C301" s="86"/>
      <c r="D301" s="86"/>
      <c r="E301" s="86"/>
      <c r="F301" s="86"/>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row>
    <row r="302" spans="1:29" ht="15.75">
      <c r="A302" s="82"/>
      <c r="B302" s="88"/>
      <c r="C302" s="86"/>
      <c r="D302" s="86"/>
      <c r="E302" s="86"/>
      <c r="F302" s="86"/>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row>
    <row r="303" spans="1:29" ht="15.75">
      <c r="A303" s="82"/>
      <c r="B303" s="88"/>
      <c r="C303" s="86"/>
      <c r="D303" s="86"/>
      <c r="E303" s="86"/>
      <c r="F303" s="86"/>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row>
    <row r="304" spans="1:29" ht="15.75">
      <c r="A304" s="82"/>
      <c r="B304" s="88"/>
      <c r="C304" s="86"/>
      <c r="D304" s="86"/>
      <c r="E304" s="86"/>
      <c r="F304" s="86"/>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row>
    <row r="305" spans="1:29" ht="15.75">
      <c r="A305" s="82"/>
      <c r="B305" s="88"/>
      <c r="C305" s="86"/>
      <c r="D305" s="86"/>
      <c r="E305" s="86"/>
      <c r="F305" s="86"/>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row>
    <row r="306" spans="1:29" ht="15.75">
      <c r="A306" s="82"/>
      <c r="B306" s="88"/>
      <c r="C306" s="86"/>
      <c r="D306" s="86"/>
      <c r="E306" s="86"/>
      <c r="F306" s="86"/>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row>
    <row r="307" spans="1:29" ht="15.75">
      <c r="A307" s="82"/>
      <c r="B307" s="88"/>
      <c r="C307" s="86"/>
      <c r="D307" s="86"/>
      <c r="E307" s="86"/>
      <c r="F307" s="86"/>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row>
    <row r="308" spans="1:29" ht="15.75">
      <c r="A308" s="82"/>
      <c r="B308" s="88"/>
      <c r="C308" s="86"/>
      <c r="D308" s="86"/>
      <c r="E308" s="86"/>
      <c r="F308" s="86"/>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row>
    <row r="309" spans="1:29" ht="15.75">
      <c r="A309" s="82"/>
      <c r="B309" s="88"/>
      <c r="C309" s="86"/>
      <c r="D309" s="86"/>
      <c r="E309" s="86"/>
      <c r="F309" s="86"/>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row>
    <row r="310" spans="1:29" ht="15.75">
      <c r="A310" s="82"/>
      <c r="B310" s="88"/>
      <c r="C310" s="86"/>
      <c r="D310" s="86"/>
      <c r="E310" s="86"/>
      <c r="F310" s="86"/>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row>
    <row r="311" spans="1:29" ht="15.75">
      <c r="A311" s="82"/>
      <c r="B311" s="88"/>
      <c r="C311" s="86"/>
      <c r="D311" s="86"/>
      <c r="E311" s="86"/>
      <c r="F311" s="86"/>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row>
    <row r="312" spans="1:29" ht="15.75">
      <c r="A312" s="82"/>
      <c r="B312" s="88"/>
      <c r="C312" s="86"/>
      <c r="D312" s="86"/>
      <c r="E312" s="86"/>
      <c r="F312" s="86"/>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row>
    <row r="313" spans="1:29" ht="15.75">
      <c r="A313" s="82"/>
      <c r="B313" s="88"/>
      <c r="C313" s="86"/>
      <c r="D313" s="86"/>
      <c r="E313" s="86"/>
      <c r="F313" s="86"/>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row>
    <row r="314" spans="1:29" ht="15.75">
      <c r="A314" s="82"/>
      <c r="B314" s="88"/>
      <c r="C314" s="86"/>
      <c r="D314" s="86"/>
      <c r="E314" s="86"/>
      <c r="F314" s="86"/>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row>
    <row r="315" spans="1:29" ht="15.75">
      <c r="A315" s="82"/>
      <c r="B315" s="88"/>
      <c r="C315" s="86"/>
      <c r="D315" s="86"/>
      <c r="E315" s="86"/>
      <c r="F315" s="86"/>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row>
    <row r="316" spans="1:29" ht="15.75">
      <c r="A316" s="82"/>
      <c r="B316" s="88"/>
      <c r="C316" s="86"/>
      <c r="D316" s="86"/>
      <c r="E316" s="86"/>
      <c r="F316" s="86"/>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row>
    <row r="317" spans="1:29" ht="15.75">
      <c r="A317" s="82"/>
      <c r="B317" s="88"/>
      <c r="C317" s="86"/>
      <c r="D317" s="86"/>
      <c r="E317" s="86"/>
      <c r="F317" s="86"/>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row>
    <row r="318" spans="1:29" ht="15.75">
      <c r="A318" s="82"/>
      <c r="B318" s="88"/>
      <c r="C318" s="86"/>
      <c r="D318" s="86"/>
      <c r="E318" s="86"/>
      <c r="F318" s="86"/>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row>
    <row r="319" spans="1:29" ht="15.75">
      <c r="A319" s="82"/>
      <c r="B319" s="88"/>
      <c r="C319" s="86"/>
      <c r="D319" s="86"/>
      <c r="E319" s="86"/>
      <c r="F319" s="86"/>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row>
    <row r="320" spans="1:29" ht="15.75">
      <c r="A320" s="82"/>
      <c r="B320" s="88"/>
      <c r="C320" s="86"/>
      <c r="D320" s="86"/>
      <c r="E320" s="86"/>
      <c r="F320" s="86"/>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row>
    <row r="321" spans="1:29" ht="15.75">
      <c r="A321" s="82"/>
      <c r="B321" s="88"/>
      <c r="C321" s="86"/>
      <c r="D321" s="86"/>
      <c r="E321" s="86"/>
      <c r="F321" s="86"/>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row>
    <row r="322" spans="1:29" ht="15.75">
      <c r="A322" s="82"/>
      <c r="B322" s="88"/>
      <c r="C322" s="86"/>
      <c r="D322" s="86"/>
      <c r="E322" s="86"/>
      <c r="F322" s="86"/>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row>
    <row r="323" spans="1:29" ht="15.75">
      <c r="A323" s="82"/>
      <c r="B323" s="88"/>
      <c r="C323" s="86"/>
      <c r="D323" s="86"/>
      <c r="E323" s="86"/>
      <c r="F323" s="86"/>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row>
    <row r="324" spans="1:29" ht="15.75">
      <c r="A324" s="82"/>
      <c r="B324" s="88"/>
      <c r="C324" s="86"/>
      <c r="D324" s="86"/>
      <c r="E324" s="86"/>
      <c r="F324" s="86"/>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row>
    <row r="325" spans="1:29" ht="15.75">
      <c r="A325" s="82"/>
      <c r="B325" s="88"/>
      <c r="C325" s="86"/>
      <c r="D325" s="86"/>
      <c r="E325" s="86"/>
      <c r="F325" s="86"/>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row>
    <row r="326" spans="1:29" ht="15.75">
      <c r="A326" s="82"/>
      <c r="B326" s="88"/>
      <c r="C326" s="86"/>
      <c r="D326" s="86"/>
      <c r="E326" s="86"/>
      <c r="F326" s="86"/>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row>
    <row r="327" spans="1:29" ht="15.75">
      <c r="A327" s="82"/>
      <c r="B327" s="88"/>
      <c r="C327" s="86"/>
      <c r="D327" s="86"/>
      <c r="E327" s="86"/>
      <c r="F327" s="86"/>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row>
    <row r="328" spans="1:29" ht="15.75">
      <c r="A328" s="82"/>
      <c r="B328" s="88"/>
      <c r="C328" s="86"/>
      <c r="D328" s="86"/>
      <c r="E328" s="86"/>
      <c r="F328" s="86"/>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row>
    <row r="329" spans="1:29" ht="15.75">
      <c r="A329" s="82"/>
      <c r="B329" s="88"/>
      <c r="C329" s="86"/>
      <c r="D329" s="86"/>
      <c r="E329" s="86"/>
      <c r="F329" s="86"/>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row>
    <row r="330" spans="1:29" ht="15.75">
      <c r="A330" s="82"/>
      <c r="B330" s="88"/>
      <c r="C330" s="86"/>
      <c r="D330" s="86"/>
      <c r="E330" s="86"/>
      <c r="F330" s="86"/>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row>
    <row r="331" spans="1:29" ht="15.75">
      <c r="A331" s="82"/>
      <c r="B331" s="88"/>
      <c r="C331" s="86"/>
      <c r="D331" s="86"/>
      <c r="E331" s="86"/>
      <c r="F331" s="86"/>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row>
    <row r="332" spans="1:29" ht="15.75">
      <c r="A332" s="82"/>
      <c r="B332" s="88"/>
      <c r="C332" s="86"/>
      <c r="D332" s="86"/>
      <c r="E332" s="86"/>
      <c r="F332" s="86"/>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row>
    <row r="333" spans="1:29" ht="15.75">
      <c r="A333" s="82"/>
      <c r="B333" s="88"/>
      <c r="C333" s="86"/>
      <c r="D333" s="86"/>
      <c r="E333" s="86"/>
      <c r="F333" s="86"/>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row>
    <row r="334" spans="1:29" ht="15.75">
      <c r="A334" s="82"/>
      <c r="B334" s="88"/>
      <c r="C334" s="86"/>
      <c r="D334" s="86"/>
      <c r="E334" s="86"/>
      <c r="F334" s="86"/>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row>
    <row r="335" spans="1:29" ht="15.75">
      <c r="A335" s="82"/>
      <c r="B335" s="88"/>
      <c r="C335" s="86"/>
      <c r="D335" s="86"/>
      <c r="E335" s="86"/>
      <c r="F335" s="86"/>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row>
    <row r="336" spans="1:29" ht="15.75">
      <c r="A336" s="82"/>
      <c r="B336" s="88"/>
      <c r="C336" s="86"/>
      <c r="D336" s="86"/>
      <c r="E336" s="86"/>
      <c r="F336" s="86"/>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row>
    <row r="337" spans="1:29" ht="15.75">
      <c r="A337" s="82"/>
      <c r="B337" s="88"/>
      <c r="C337" s="86"/>
      <c r="D337" s="86"/>
      <c r="E337" s="86"/>
      <c r="F337" s="86"/>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row>
    <row r="338" spans="1:29" ht="15.75">
      <c r="A338" s="82"/>
      <c r="B338" s="88"/>
      <c r="C338" s="86"/>
      <c r="D338" s="86"/>
      <c r="E338" s="86"/>
      <c r="F338" s="86"/>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row>
    <row r="339" spans="1:29" ht="15.75">
      <c r="A339" s="82"/>
      <c r="B339" s="88"/>
      <c r="C339" s="86"/>
      <c r="D339" s="86"/>
      <c r="E339" s="86"/>
      <c r="F339" s="86"/>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row>
    <row r="340" spans="1:29" ht="15.75">
      <c r="A340" s="82"/>
      <c r="B340" s="88"/>
      <c r="C340" s="86"/>
      <c r="D340" s="86"/>
      <c r="E340" s="86"/>
      <c r="F340" s="86"/>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row>
    <row r="341" spans="1:29" ht="15.75">
      <c r="A341" s="82"/>
      <c r="B341" s="88"/>
      <c r="C341" s="86"/>
      <c r="D341" s="86"/>
      <c r="E341" s="86"/>
      <c r="F341" s="86"/>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row>
    <row r="342" spans="1:29" ht="15.75">
      <c r="A342" s="82"/>
      <c r="B342" s="88"/>
      <c r="C342" s="86"/>
      <c r="D342" s="86"/>
      <c r="E342" s="86"/>
      <c r="F342" s="86"/>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row>
    <row r="343" spans="1:29" ht="15.75">
      <c r="A343" s="82"/>
      <c r="B343" s="88"/>
      <c r="C343" s="86"/>
      <c r="D343" s="86"/>
      <c r="E343" s="86"/>
      <c r="F343" s="86"/>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row>
    <row r="344" spans="1:29" ht="15.75">
      <c r="A344" s="82"/>
      <c r="B344" s="88"/>
      <c r="C344" s="86"/>
      <c r="D344" s="86"/>
      <c r="E344" s="86"/>
      <c r="F344" s="86"/>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row>
    <row r="345" spans="1:29" ht="15.75">
      <c r="A345" s="82"/>
      <c r="B345" s="88"/>
      <c r="C345" s="86"/>
      <c r="D345" s="86"/>
      <c r="E345" s="86"/>
      <c r="F345" s="86"/>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row>
    <row r="346" spans="1:29" ht="15.75">
      <c r="A346" s="82"/>
      <c r="B346" s="88"/>
      <c r="C346" s="86"/>
      <c r="D346" s="86"/>
      <c r="E346" s="86"/>
      <c r="F346" s="86"/>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row>
    <row r="347" spans="1:29" ht="15.75">
      <c r="A347" s="82"/>
      <c r="B347" s="88"/>
      <c r="C347" s="86"/>
      <c r="D347" s="86"/>
      <c r="E347" s="86"/>
      <c r="F347" s="86"/>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row>
    <row r="348" spans="1:29" ht="15.75">
      <c r="A348" s="82"/>
      <c r="B348" s="88"/>
      <c r="C348" s="86"/>
      <c r="D348" s="86"/>
      <c r="E348" s="86"/>
      <c r="F348" s="86"/>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row>
    <row r="349" spans="1:29" ht="15.75">
      <c r="A349" s="82"/>
      <c r="B349" s="88"/>
      <c r="C349" s="86"/>
      <c r="D349" s="86"/>
      <c r="E349" s="86"/>
      <c r="F349" s="86"/>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row>
    <row r="350" spans="1:29" ht="15.75">
      <c r="A350" s="82"/>
      <c r="B350" s="88"/>
      <c r="C350" s="86"/>
      <c r="D350" s="86"/>
      <c r="E350" s="86"/>
      <c r="F350" s="86"/>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row>
    <row r="351" spans="1:29" ht="15.75">
      <c r="A351" s="82"/>
      <c r="B351" s="88"/>
      <c r="C351" s="86"/>
      <c r="D351" s="86"/>
      <c r="E351" s="86"/>
      <c r="F351" s="86"/>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row>
    <row r="352" spans="1:29" ht="15.75">
      <c r="A352" s="82"/>
      <c r="B352" s="88"/>
      <c r="C352" s="86"/>
      <c r="D352" s="86"/>
      <c r="E352" s="86"/>
      <c r="F352" s="86"/>
      <c r="G352" s="84"/>
      <c r="H352" s="84"/>
      <c r="I352" s="84"/>
      <c r="J352" s="84"/>
      <c r="K352" s="84"/>
      <c r="L352" s="84"/>
      <c r="M352" s="84"/>
      <c r="N352" s="84"/>
      <c r="O352" s="84"/>
      <c r="P352" s="84"/>
      <c r="Q352" s="84"/>
      <c r="R352" s="84"/>
      <c r="S352" s="84"/>
      <c r="T352" s="84"/>
      <c r="U352" s="84"/>
      <c r="V352" s="84"/>
      <c r="W352" s="84"/>
      <c r="X352" s="84"/>
      <c r="Y352" s="84"/>
      <c r="Z352" s="84"/>
      <c r="AA352" s="84"/>
      <c r="AB352" s="84"/>
      <c r="AC352" s="84"/>
    </row>
    <row r="353" spans="1:29" ht="15.75">
      <c r="A353" s="82"/>
      <c r="B353" s="88"/>
      <c r="C353" s="86"/>
      <c r="D353" s="86"/>
      <c r="E353" s="86"/>
      <c r="F353" s="86"/>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row>
    <row r="354" spans="1:29" ht="15.75">
      <c r="A354" s="82"/>
      <c r="B354" s="88"/>
      <c r="C354" s="86"/>
      <c r="D354" s="86"/>
      <c r="E354" s="86"/>
      <c r="F354" s="86"/>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row>
    <row r="355" spans="1:29" ht="15.75">
      <c r="A355" s="82"/>
      <c r="B355" s="88"/>
      <c r="C355" s="86"/>
      <c r="D355" s="86"/>
      <c r="E355" s="86"/>
      <c r="F355" s="86"/>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row>
    <row r="356" spans="1:29" ht="15.75">
      <c r="A356" s="82"/>
      <c r="B356" s="88"/>
      <c r="C356" s="86"/>
      <c r="D356" s="86"/>
      <c r="E356" s="86"/>
      <c r="F356" s="86"/>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row>
    <row r="357" spans="1:29" ht="15.75">
      <c r="A357" s="82"/>
      <c r="B357" s="88"/>
      <c r="C357" s="86"/>
      <c r="D357" s="86"/>
      <c r="E357" s="86"/>
      <c r="F357" s="86"/>
      <c r="G357" s="84"/>
      <c r="H357" s="84"/>
      <c r="I357" s="84"/>
      <c r="J357" s="84"/>
      <c r="K357" s="84"/>
      <c r="L357" s="84"/>
      <c r="M357" s="84"/>
      <c r="N357" s="84"/>
      <c r="O357" s="84"/>
      <c r="P357" s="84"/>
      <c r="Q357" s="84"/>
      <c r="R357" s="84"/>
      <c r="S357" s="84"/>
      <c r="T357" s="84"/>
      <c r="U357" s="84"/>
      <c r="V357" s="84"/>
      <c r="W357" s="84"/>
      <c r="X357" s="84"/>
      <c r="Y357" s="84"/>
      <c r="Z357" s="84"/>
      <c r="AA357" s="84"/>
      <c r="AB357" s="84"/>
      <c r="AC357" s="84"/>
    </row>
    <row r="358" spans="1:29" ht="15.75">
      <c r="A358" s="82"/>
      <c r="B358" s="88"/>
      <c r="C358" s="86"/>
      <c r="D358" s="86"/>
      <c r="E358" s="86"/>
      <c r="F358" s="86"/>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row>
    <row r="359" spans="1:29" ht="15.75">
      <c r="A359" s="82"/>
      <c r="B359" s="88"/>
      <c r="C359" s="86"/>
      <c r="D359" s="86"/>
      <c r="E359" s="86"/>
      <c r="F359" s="86"/>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row>
    <row r="360" spans="1:29" ht="15.75">
      <c r="A360" s="82"/>
      <c r="B360" s="88"/>
      <c r="C360" s="86"/>
      <c r="D360" s="86"/>
      <c r="E360" s="86"/>
      <c r="F360" s="86"/>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row>
    <row r="361" spans="1:29" ht="15.75">
      <c r="A361" s="82"/>
      <c r="B361" s="88"/>
      <c r="C361" s="86"/>
      <c r="D361" s="86"/>
      <c r="E361" s="86"/>
      <c r="F361" s="86"/>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row>
    <row r="362" spans="1:29" ht="15.75">
      <c r="A362" s="82"/>
      <c r="B362" s="88"/>
      <c r="C362" s="86"/>
      <c r="D362" s="86"/>
      <c r="E362" s="86"/>
      <c r="F362" s="86"/>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row>
    <row r="363" spans="1:29" ht="15.75">
      <c r="A363" s="82"/>
      <c r="B363" s="88"/>
      <c r="C363" s="86"/>
      <c r="D363" s="86"/>
      <c r="E363" s="86"/>
      <c r="F363" s="86"/>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row>
    <row r="364" spans="1:29" ht="15.75">
      <c r="A364" s="82"/>
      <c r="B364" s="88"/>
      <c r="C364" s="86"/>
      <c r="D364" s="86"/>
      <c r="E364" s="86"/>
      <c r="F364" s="86"/>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row>
    <row r="365" spans="1:29" ht="15.75">
      <c r="A365" s="82"/>
      <c r="B365" s="88"/>
      <c r="C365" s="86"/>
      <c r="D365" s="86"/>
      <c r="E365" s="86"/>
      <c r="F365" s="86"/>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row>
    <row r="366" spans="1:29" ht="15.75">
      <c r="A366" s="82"/>
      <c r="B366" s="88"/>
      <c r="C366" s="86"/>
      <c r="D366" s="86"/>
      <c r="E366" s="86"/>
      <c r="F366" s="86"/>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row>
    <row r="367" spans="1:29" ht="15.75">
      <c r="A367" s="82"/>
      <c r="B367" s="88"/>
      <c r="C367" s="86"/>
      <c r="D367" s="86"/>
      <c r="E367" s="86"/>
      <c r="F367" s="86"/>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row>
    <row r="368" spans="1:29" ht="15.75">
      <c r="A368" s="82"/>
      <c r="B368" s="88"/>
      <c r="C368" s="86"/>
      <c r="D368" s="86"/>
      <c r="E368" s="86"/>
      <c r="F368" s="86"/>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row>
    <row r="369" spans="1:29" ht="15.75">
      <c r="A369" s="82"/>
      <c r="B369" s="88"/>
      <c r="C369" s="86"/>
      <c r="D369" s="86"/>
      <c r="E369" s="86"/>
      <c r="F369" s="86"/>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row>
    <row r="370" spans="1:29" ht="15.75">
      <c r="A370" s="82"/>
      <c r="B370" s="88"/>
      <c r="C370" s="86"/>
      <c r="D370" s="86"/>
      <c r="E370" s="86"/>
      <c r="F370" s="86"/>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row>
    <row r="371" spans="1:29" ht="15.75">
      <c r="A371" s="82"/>
      <c r="B371" s="88"/>
      <c r="C371" s="86"/>
      <c r="D371" s="86"/>
      <c r="E371" s="86"/>
      <c r="F371" s="86"/>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row>
    <row r="372" spans="1:29" ht="15.75">
      <c r="A372" s="82"/>
      <c r="B372" s="88"/>
      <c r="C372" s="86"/>
      <c r="D372" s="86"/>
      <c r="E372" s="86"/>
      <c r="F372" s="86"/>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row>
    <row r="373" spans="1:29" ht="15.75">
      <c r="A373" s="82"/>
      <c r="B373" s="88"/>
      <c r="C373" s="86"/>
      <c r="D373" s="86"/>
      <c r="E373" s="86"/>
      <c r="F373" s="86"/>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row>
    <row r="374" spans="1:29" ht="15.75">
      <c r="A374" s="82"/>
      <c r="B374" s="88"/>
      <c r="C374" s="86"/>
      <c r="D374" s="86"/>
      <c r="E374" s="86"/>
      <c r="F374" s="86"/>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row>
    <row r="375" spans="1:29" ht="15.75">
      <c r="A375" s="82"/>
      <c r="B375" s="88"/>
      <c r="C375" s="86"/>
      <c r="D375" s="86"/>
      <c r="E375" s="86"/>
      <c r="F375" s="86"/>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row>
    <row r="376" spans="1:29" ht="15.75">
      <c r="A376" s="82"/>
      <c r="B376" s="88"/>
      <c r="C376" s="86"/>
      <c r="D376" s="86"/>
      <c r="E376" s="86"/>
      <c r="F376" s="86"/>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row>
    <row r="377" spans="1:29" ht="15.75">
      <c r="A377" s="82"/>
      <c r="B377" s="88"/>
      <c r="C377" s="86"/>
      <c r="D377" s="86"/>
      <c r="E377" s="86"/>
      <c r="F377" s="86"/>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row>
    <row r="378" spans="1:29" ht="15.75">
      <c r="A378" s="82"/>
      <c r="B378" s="88"/>
      <c r="C378" s="86"/>
      <c r="D378" s="86"/>
      <c r="E378" s="86"/>
      <c r="F378" s="86"/>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row>
    <row r="379" spans="1:29" ht="15.75">
      <c r="A379" s="82"/>
      <c r="B379" s="88"/>
      <c r="C379" s="86"/>
      <c r="D379" s="86"/>
      <c r="E379" s="86"/>
      <c r="F379" s="86"/>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row>
    <row r="380" spans="1:29" ht="15.75">
      <c r="A380" s="82"/>
      <c r="B380" s="88"/>
      <c r="C380" s="86"/>
      <c r="D380" s="86"/>
      <c r="E380" s="86"/>
      <c r="F380" s="86"/>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row>
    <row r="381" spans="1:29" ht="15.75">
      <c r="A381" s="82"/>
      <c r="B381" s="88"/>
      <c r="C381" s="86"/>
      <c r="D381" s="86"/>
      <c r="E381" s="86"/>
      <c r="F381" s="86"/>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row>
    <row r="382" spans="1:29" ht="15.75">
      <c r="A382" s="82"/>
      <c r="B382" s="88"/>
      <c r="C382" s="86"/>
      <c r="D382" s="86"/>
      <c r="E382" s="86"/>
      <c r="F382" s="86"/>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row>
    <row r="383" spans="1:29" ht="15.75">
      <c r="A383" s="82"/>
      <c r="B383" s="88"/>
      <c r="C383" s="86"/>
      <c r="D383" s="86"/>
      <c r="E383" s="86"/>
      <c r="F383" s="86"/>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row>
    <row r="384" spans="1:29" ht="15.75">
      <c r="A384" s="82"/>
      <c r="B384" s="88"/>
      <c r="C384" s="86"/>
      <c r="D384" s="86"/>
      <c r="E384" s="86"/>
      <c r="F384" s="86"/>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row>
    <row r="385" spans="1:29" ht="15.75">
      <c r="A385" s="82"/>
      <c r="B385" s="88"/>
      <c r="C385" s="86"/>
      <c r="D385" s="86"/>
      <c r="E385" s="86"/>
      <c r="F385" s="86"/>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row>
    <row r="386" spans="1:29" ht="15.75">
      <c r="A386" s="82"/>
      <c r="B386" s="88"/>
      <c r="C386" s="86"/>
      <c r="D386" s="86"/>
      <c r="E386" s="86"/>
      <c r="F386" s="86"/>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row>
    <row r="387" spans="1:29" ht="15.75">
      <c r="A387" s="82"/>
      <c r="B387" s="88"/>
      <c r="C387" s="86"/>
      <c r="D387" s="86"/>
      <c r="E387" s="86"/>
      <c r="F387" s="86"/>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row>
    <row r="388" spans="1:29" ht="15.75">
      <c r="A388" s="82"/>
      <c r="B388" s="88"/>
      <c r="C388" s="86"/>
      <c r="D388" s="86"/>
      <c r="E388" s="86"/>
      <c r="F388" s="86"/>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row>
    <row r="389" spans="1:29" ht="15.75">
      <c r="A389" s="82"/>
      <c r="B389" s="88"/>
      <c r="C389" s="86"/>
      <c r="D389" s="86"/>
      <c r="E389" s="86"/>
      <c r="F389" s="86"/>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row>
    <row r="390" spans="1:29" ht="15.75">
      <c r="A390" s="82"/>
      <c r="B390" s="88"/>
      <c r="C390" s="86"/>
      <c r="D390" s="86"/>
      <c r="E390" s="86"/>
      <c r="F390" s="86"/>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row>
    <row r="391" spans="1:29" ht="15.75">
      <c r="A391" s="82"/>
      <c r="B391" s="88"/>
      <c r="C391" s="86"/>
      <c r="D391" s="86"/>
      <c r="E391" s="86"/>
      <c r="F391" s="86"/>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row>
    <row r="392" spans="1:29" ht="15.75">
      <c r="A392" s="82"/>
      <c r="B392" s="88"/>
      <c r="C392" s="86"/>
      <c r="D392" s="86"/>
      <c r="E392" s="86"/>
      <c r="F392" s="86"/>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row>
    <row r="393" spans="1:29" ht="15.75">
      <c r="A393" s="82"/>
      <c r="B393" s="88"/>
      <c r="C393" s="86"/>
      <c r="D393" s="86"/>
      <c r="E393" s="86"/>
      <c r="F393" s="86"/>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row>
    <row r="394" spans="1:29" ht="15.75">
      <c r="A394" s="82"/>
      <c r="B394" s="88"/>
      <c r="C394" s="86"/>
      <c r="D394" s="86"/>
      <c r="E394" s="86"/>
      <c r="F394" s="86"/>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row>
    <row r="395" spans="1:29" ht="15.75">
      <c r="A395" s="82"/>
      <c r="B395" s="88"/>
      <c r="C395" s="86"/>
      <c r="D395" s="86"/>
      <c r="E395" s="86"/>
      <c r="F395" s="86"/>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row>
    <row r="396" spans="1:29" ht="15.75">
      <c r="A396" s="82"/>
      <c r="B396" s="88"/>
      <c r="C396" s="86"/>
      <c r="D396" s="86"/>
      <c r="E396" s="86"/>
      <c r="F396" s="86"/>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row>
    <row r="397" spans="1:29" ht="15.75">
      <c r="A397" s="82"/>
      <c r="B397" s="88"/>
      <c r="C397" s="86"/>
      <c r="D397" s="86"/>
      <c r="E397" s="86"/>
      <c r="F397" s="86"/>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row>
    <row r="398" spans="1:29" ht="15.75">
      <c r="A398" s="82"/>
      <c r="B398" s="88"/>
      <c r="C398" s="86"/>
      <c r="D398" s="86"/>
      <c r="E398" s="86"/>
      <c r="F398" s="86"/>
      <c r="G398" s="84"/>
      <c r="H398" s="84"/>
      <c r="I398" s="84"/>
      <c r="J398" s="84"/>
      <c r="K398" s="84"/>
      <c r="L398" s="84"/>
      <c r="M398" s="84"/>
      <c r="N398" s="84"/>
      <c r="O398" s="84"/>
      <c r="P398" s="84"/>
      <c r="Q398" s="84"/>
      <c r="R398" s="84"/>
      <c r="S398" s="84"/>
      <c r="T398" s="84"/>
      <c r="U398" s="84"/>
      <c r="V398" s="84"/>
      <c r="W398" s="84"/>
      <c r="X398" s="84"/>
      <c r="Y398" s="84"/>
      <c r="Z398" s="84"/>
      <c r="AA398" s="84"/>
      <c r="AB398" s="84"/>
      <c r="AC398" s="84"/>
    </row>
  </sheetData>
  <sheetProtection/>
  <mergeCells count="72">
    <mergeCell ref="I4:K5"/>
    <mergeCell ref="L4:M5"/>
    <mergeCell ref="X4:AA4"/>
    <mergeCell ref="AB4:AC5"/>
    <mergeCell ref="N4:O5"/>
    <mergeCell ref="P4:Q5"/>
    <mergeCell ref="R4:S5"/>
    <mergeCell ref="T4:W4"/>
    <mergeCell ref="A2:AD2"/>
    <mergeCell ref="AA3:AD3"/>
    <mergeCell ref="A4:A7"/>
    <mergeCell ref="B4:B7"/>
    <mergeCell ref="C4:C7"/>
    <mergeCell ref="D4:D7"/>
    <mergeCell ref="E4:E7"/>
    <mergeCell ref="F4:H5"/>
    <mergeCell ref="V6:V7"/>
    <mergeCell ref="W6:W7"/>
    <mergeCell ref="J6:J7"/>
    <mergeCell ref="K6:K7"/>
    <mergeCell ref="AD4:AD7"/>
    <mergeCell ref="T5:U5"/>
    <mergeCell ref="V5:W5"/>
    <mergeCell ref="X5:Y5"/>
    <mergeCell ref="Z5:AA5"/>
    <mergeCell ref="X6:X7"/>
    <mergeCell ref="Y6:Y7"/>
    <mergeCell ref="Z6:Z7"/>
    <mergeCell ref="AA6:AA7"/>
    <mergeCell ref="AB6:AB7"/>
    <mergeCell ref="AC6:AC7"/>
    <mergeCell ref="B31:S31"/>
    <mergeCell ref="T6:T7"/>
    <mergeCell ref="U6:U7"/>
    <mergeCell ref="N6:N7"/>
    <mergeCell ref="O6:O7"/>
    <mergeCell ref="F6:F7"/>
    <mergeCell ref="G6:G7"/>
    <mergeCell ref="P6:P7"/>
    <mergeCell ref="Q6:Q7"/>
    <mergeCell ref="B32:S32"/>
    <mergeCell ref="B33:S33"/>
    <mergeCell ref="R6:R7"/>
    <mergeCell ref="S6:S7"/>
    <mergeCell ref="L6:L7"/>
    <mergeCell ref="M6:M7"/>
    <mergeCell ref="H6:H7"/>
    <mergeCell ref="I6:I7"/>
    <mergeCell ref="B38:S38"/>
    <mergeCell ref="B39:S39"/>
    <mergeCell ref="B40:S40"/>
    <mergeCell ref="B41:S41"/>
    <mergeCell ref="B34:S34"/>
    <mergeCell ref="B35:S35"/>
    <mergeCell ref="B36:S36"/>
    <mergeCell ref="B37:S37"/>
    <mergeCell ref="B46:S46"/>
    <mergeCell ref="B47:S47"/>
    <mergeCell ref="B48:S48"/>
    <mergeCell ref="B49:S49"/>
    <mergeCell ref="B42:S42"/>
    <mergeCell ref="B43:S43"/>
    <mergeCell ref="B44:S44"/>
    <mergeCell ref="B45:S45"/>
    <mergeCell ref="B55:S55"/>
    <mergeCell ref="B57:S57"/>
    <mergeCell ref="B61:AC61"/>
    <mergeCell ref="B62:AC62"/>
    <mergeCell ref="B50:S50"/>
    <mergeCell ref="B51:S51"/>
    <mergeCell ref="B52:S52"/>
    <mergeCell ref="B53:S5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C21" sqref="C21"/>
    </sheetView>
  </sheetViews>
  <sheetFormatPr defaultColWidth="9.00390625" defaultRowHeight="15.75"/>
  <cols>
    <col min="1" max="1" width="4.375" style="116" customWidth="1"/>
    <col min="2" max="2" width="22.00390625" style="116" customWidth="1"/>
    <col min="3" max="3" width="11.25390625" style="116" customWidth="1"/>
    <col min="4" max="4" width="16.00390625" style="116" customWidth="1"/>
    <col min="5" max="5" width="18.875" style="116" customWidth="1"/>
    <col min="6" max="6" width="23.875" style="116" customWidth="1"/>
    <col min="7" max="7" width="15.50390625" style="116" customWidth="1"/>
    <col min="8" max="8" width="13.875" style="116" customWidth="1"/>
    <col min="9" max="9" width="14.25390625" style="116" customWidth="1"/>
    <col min="10" max="16384" width="9.00390625" style="116" customWidth="1"/>
  </cols>
  <sheetData>
    <row r="1" spans="1:9" ht="15.75">
      <c r="A1" s="115" t="s">
        <v>1104</v>
      </c>
      <c r="I1" s="120" t="s">
        <v>1132</v>
      </c>
    </row>
    <row r="3" spans="1:9" ht="15.75">
      <c r="A3" s="901" t="s">
        <v>1137</v>
      </c>
      <c r="B3" s="901"/>
      <c r="C3" s="901"/>
      <c r="D3" s="901"/>
      <c r="E3" s="901"/>
      <c r="F3" s="901"/>
      <c r="G3" s="901"/>
      <c r="H3" s="901"/>
      <c r="I3" s="901"/>
    </row>
    <row r="5" spans="1:9" ht="15.75">
      <c r="A5" s="900" t="s">
        <v>1090</v>
      </c>
      <c r="B5" s="900"/>
      <c r="C5" s="900"/>
      <c r="D5" s="900"/>
      <c r="E5" s="900"/>
      <c r="F5" s="900"/>
      <c r="G5" s="900"/>
      <c r="H5" s="900"/>
      <c r="I5" s="900"/>
    </row>
    <row r="7" spans="1:9" ht="15.75">
      <c r="A7" s="902" t="s">
        <v>1124</v>
      </c>
      <c r="B7" s="902" t="s">
        <v>1125</v>
      </c>
      <c r="C7" s="903" t="s">
        <v>1222</v>
      </c>
      <c r="D7" s="903" t="s">
        <v>1223</v>
      </c>
      <c r="E7" s="904" t="s">
        <v>1126</v>
      </c>
      <c r="F7" s="904"/>
      <c r="G7" s="903" t="s">
        <v>1224</v>
      </c>
      <c r="H7" s="903" t="s">
        <v>1129</v>
      </c>
      <c r="I7" s="902" t="s">
        <v>1127</v>
      </c>
    </row>
    <row r="8" spans="1:9" ht="72.75" customHeight="1">
      <c r="A8" s="902"/>
      <c r="B8" s="902"/>
      <c r="C8" s="902"/>
      <c r="D8" s="902"/>
      <c r="E8" s="112" t="s">
        <v>100</v>
      </c>
      <c r="F8" s="112" t="s">
        <v>101</v>
      </c>
      <c r="G8" s="902"/>
      <c r="H8" s="902"/>
      <c r="I8" s="902"/>
    </row>
    <row r="9" spans="1:9" ht="15.75">
      <c r="A9" s="117">
        <v>1</v>
      </c>
      <c r="B9" s="117">
        <v>2</v>
      </c>
      <c r="C9" s="117">
        <v>3</v>
      </c>
      <c r="D9" s="117">
        <v>4</v>
      </c>
      <c r="E9" s="117">
        <v>5</v>
      </c>
      <c r="F9" s="117">
        <v>6</v>
      </c>
      <c r="G9" s="117">
        <v>7</v>
      </c>
      <c r="H9" s="117" t="s">
        <v>1128</v>
      </c>
      <c r="I9" s="117">
        <v>9</v>
      </c>
    </row>
    <row r="10" spans="1:9" ht="21" customHeight="1">
      <c r="A10" s="118"/>
      <c r="B10" s="119" t="s">
        <v>1130</v>
      </c>
      <c r="C10" s="118"/>
      <c r="D10" s="118"/>
      <c r="E10" s="118"/>
      <c r="F10" s="118"/>
      <c r="G10" s="118"/>
      <c r="H10" s="118"/>
      <c r="I10" s="118"/>
    </row>
    <row r="11" spans="1:9" ht="21.75" customHeight="1">
      <c r="A11" s="118"/>
      <c r="B11" s="118" t="s">
        <v>1131</v>
      </c>
      <c r="C11" s="118"/>
      <c r="D11" s="118"/>
      <c r="E11" s="118"/>
      <c r="F11" s="118"/>
      <c r="G11" s="118"/>
      <c r="H11" s="118"/>
      <c r="I11" s="118"/>
    </row>
    <row r="12" spans="1:9" ht="15.75">
      <c r="A12" s="118"/>
      <c r="B12" s="118"/>
      <c r="C12" s="118"/>
      <c r="D12" s="118"/>
      <c r="E12" s="118"/>
      <c r="F12" s="118"/>
      <c r="G12" s="118"/>
      <c r="H12" s="118"/>
      <c r="I12" s="118"/>
    </row>
    <row r="13" spans="1:9" ht="15.75">
      <c r="A13" s="118"/>
      <c r="B13" s="118"/>
      <c r="C13" s="118"/>
      <c r="D13" s="118"/>
      <c r="E13" s="118"/>
      <c r="F13" s="118"/>
      <c r="G13" s="118"/>
      <c r="H13" s="118"/>
      <c r="I13" s="118"/>
    </row>
    <row r="14" spans="1:9" ht="15.75">
      <c r="A14" s="118"/>
      <c r="B14" s="118"/>
      <c r="C14" s="118"/>
      <c r="D14" s="118"/>
      <c r="E14" s="118"/>
      <c r="F14" s="118"/>
      <c r="G14" s="118"/>
      <c r="H14" s="118"/>
      <c r="I14" s="118"/>
    </row>
    <row r="15" spans="1:9" ht="15.75">
      <c r="A15" s="118"/>
      <c r="B15" s="118"/>
      <c r="C15" s="118"/>
      <c r="D15" s="118"/>
      <c r="E15" s="118"/>
      <c r="F15" s="118"/>
      <c r="G15" s="118"/>
      <c r="H15" s="118"/>
      <c r="I15" s="118"/>
    </row>
    <row r="16" spans="1:9" ht="15.75">
      <c r="A16" s="118"/>
      <c r="B16" s="118"/>
      <c r="C16" s="118"/>
      <c r="D16" s="118"/>
      <c r="E16" s="118"/>
      <c r="F16" s="118"/>
      <c r="G16" s="118"/>
      <c r="H16" s="118"/>
      <c r="I16" s="118"/>
    </row>
    <row r="17" spans="1:9" ht="15.75">
      <c r="A17" s="118"/>
      <c r="B17" s="118"/>
      <c r="C17" s="118"/>
      <c r="D17" s="118"/>
      <c r="E17" s="118"/>
      <c r="F17" s="118"/>
      <c r="G17" s="118"/>
      <c r="H17" s="118"/>
      <c r="I17" s="118"/>
    </row>
    <row r="18" spans="1:9" ht="15.75">
      <c r="A18" s="118"/>
      <c r="B18" s="118"/>
      <c r="C18" s="118"/>
      <c r="D18" s="118"/>
      <c r="E18" s="118"/>
      <c r="F18" s="118"/>
      <c r="G18" s="118"/>
      <c r="H18" s="118"/>
      <c r="I18" s="118"/>
    </row>
    <row r="19" spans="1:9" ht="15.75">
      <c r="A19" s="118"/>
      <c r="B19" s="118"/>
      <c r="C19" s="118"/>
      <c r="D19" s="118"/>
      <c r="E19" s="118"/>
      <c r="F19" s="118"/>
      <c r="G19" s="118"/>
      <c r="H19" s="118"/>
      <c r="I19" s="118"/>
    </row>
    <row r="20" spans="1:9" ht="15.75">
      <c r="A20" s="118"/>
      <c r="B20" s="118"/>
      <c r="C20" s="118"/>
      <c r="D20" s="118"/>
      <c r="E20" s="118"/>
      <c r="F20" s="118"/>
      <c r="G20" s="118"/>
      <c r="H20" s="118"/>
      <c r="I20" s="118"/>
    </row>
    <row r="21" spans="1:9" ht="15.75">
      <c r="A21" s="118"/>
      <c r="B21" s="118"/>
      <c r="C21" s="118"/>
      <c r="D21" s="118"/>
      <c r="E21" s="118"/>
      <c r="F21" s="118"/>
      <c r="G21" s="118"/>
      <c r="H21" s="118"/>
      <c r="I21" s="118"/>
    </row>
    <row r="22" spans="1:9" ht="15.75">
      <c r="A22" s="118"/>
      <c r="B22" s="118"/>
      <c r="C22" s="118"/>
      <c r="D22" s="118"/>
      <c r="E22" s="118"/>
      <c r="F22" s="118"/>
      <c r="G22" s="118"/>
      <c r="H22" s="118"/>
      <c r="I22" s="118"/>
    </row>
    <row r="23" spans="1:9" ht="15.75">
      <c r="A23" s="118"/>
      <c r="B23" s="118"/>
      <c r="C23" s="118"/>
      <c r="D23" s="118"/>
      <c r="E23" s="118"/>
      <c r="F23" s="118"/>
      <c r="G23" s="118"/>
      <c r="H23" s="118"/>
      <c r="I23" s="118"/>
    </row>
    <row r="24" spans="1:9" ht="15.75">
      <c r="A24" s="118"/>
      <c r="B24" s="118"/>
      <c r="C24" s="118"/>
      <c r="D24" s="118"/>
      <c r="E24" s="118"/>
      <c r="F24" s="118"/>
      <c r="G24" s="118"/>
      <c r="H24" s="118"/>
      <c r="I24" s="118"/>
    </row>
    <row r="25" spans="1:9" ht="15.75">
      <c r="A25" s="118"/>
      <c r="B25" s="118"/>
      <c r="C25" s="118"/>
      <c r="D25" s="118"/>
      <c r="E25" s="118"/>
      <c r="F25" s="118"/>
      <c r="G25" s="118"/>
      <c r="H25" s="118"/>
      <c r="I25" s="118"/>
    </row>
    <row r="26" spans="1:9" ht="15.75">
      <c r="A26" s="118"/>
      <c r="B26" s="118"/>
      <c r="C26" s="118"/>
      <c r="D26" s="118"/>
      <c r="E26" s="118"/>
      <c r="F26" s="118"/>
      <c r="G26" s="118"/>
      <c r="H26" s="118"/>
      <c r="I26" s="118"/>
    </row>
    <row r="27" spans="1:9" ht="15.75">
      <c r="A27" s="118"/>
      <c r="B27" s="118"/>
      <c r="C27" s="118"/>
      <c r="D27" s="118"/>
      <c r="E27" s="118"/>
      <c r="F27" s="118"/>
      <c r="G27" s="118"/>
      <c r="H27" s="118"/>
      <c r="I27" s="118"/>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O27"/>
  <sheetViews>
    <sheetView zoomScale="85" zoomScaleNormal="85" workbookViewId="0" topLeftCell="A1">
      <selection activeCell="C21" sqref="C21"/>
    </sheetView>
  </sheetViews>
  <sheetFormatPr defaultColWidth="9.00390625" defaultRowHeight="15.75"/>
  <cols>
    <col min="1" max="1" width="3.625" style="4" customWidth="1"/>
    <col min="2" max="2" width="24.375" style="4" customWidth="1"/>
    <col min="3" max="3" width="8.75390625" style="4" customWidth="1"/>
    <col min="4" max="4" width="8.50390625" style="4" customWidth="1"/>
    <col min="5" max="5" width="9.375" style="4" customWidth="1"/>
    <col min="6" max="8" width="14.50390625" style="4" customWidth="1"/>
    <col min="9" max="9" width="10.375" style="4" customWidth="1"/>
    <col min="10" max="11" width="10.75390625" style="4" customWidth="1"/>
    <col min="12" max="12" width="11.875" style="4" customWidth="1"/>
    <col min="13" max="13" width="9.50390625" style="4" customWidth="1"/>
    <col min="14" max="14" width="12.625" style="4" customWidth="1"/>
    <col min="15" max="16384" width="9.00390625" style="4" customWidth="1"/>
  </cols>
  <sheetData>
    <row r="1" spans="1:15" ht="15.75">
      <c r="A1" s="2" t="s">
        <v>1133</v>
      </c>
      <c r="B1" s="2"/>
      <c r="C1" s="2"/>
      <c r="D1" s="2"/>
      <c r="E1" s="2"/>
      <c r="F1" s="2"/>
      <c r="G1" s="2"/>
      <c r="H1" s="2"/>
      <c r="I1" s="2"/>
      <c r="J1" s="2"/>
      <c r="K1" s="2"/>
      <c r="L1" s="2"/>
      <c r="M1" s="908" t="s">
        <v>1093</v>
      </c>
      <c r="N1" s="908"/>
      <c r="O1" s="908"/>
    </row>
    <row r="3" spans="1:15" ht="24" customHeight="1">
      <c r="A3" s="907" t="s">
        <v>1105</v>
      </c>
      <c r="B3" s="907"/>
      <c r="C3" s="907"/>
      <c r="D3" s="907"/>
      <c r="E3" s="907"/>
      <c r="F3" s="907"/>
      <c r="G3" s="907"/>
      <c r="H3" s="907"/>
      <c r="I3" s="907"/>
      <c r="J3" s="907"/>
      <c r="K3" s="907"/>
      <c r="L3" s="907"/>
      <c r="M3" s="907"/>
      <c r="N3" s="907"/>
      <c r="O3" s="907"/>
    </row>
    <row r="4" spans="1:15" ht="15.75">
      <c r="A4" s="907"/>
      <c r="B4" s="907"/>
      <c r="C4" s="907"/>
      <c r="D4" s="907"/>
      <c r="E4" s="907"/>
      <c r="F4" s="907"/>
      <c r="G4" s="907"/>
      <c r="H4" s="907"/>
      <c r="I4" s="907"/>
      <c r="J4" s="907"/>
      <c r="K4" s="907"/>
      <c r="L4" s="907"/>
      <c r="M4" s="907"/>
      <c r="N4" s="909" t="s">
        <v>1090</v>
      </c>
      <c r="O4" s="909"/>
    </row>
    <row r="5" spans="1:15" s="101" customFormat="1" ht="28.5" customHeight="1">
      <c r="A5" s="905" t="s">
        <v>1035</v>
      </c>
      <c r="B5" s="905"/>
      <c r="C5" s="905" t="s">
        <v>1081</v>
      </c>
      <c r="D5" s="905" t="s">
        <v>1091</v>
      </c>
      <c r="E5" s="905" t="s">
        <v>1145</v>
      </c>
      <c r="F5" s="889" t="s">
        <v>1146</v>
      </c>
      <c r="G5" s="889"/>
      <c r="H5" s="889"/>
      <c r="I5" s="860" t="s">
        <v>1106</v>
      </c>
      <c r="J5" s="905" t="s">
        <v>1227</v>
      </c>
      <c r="K5" s="905" t="s">
        <v>1225</v>
      </c>
      <c r="L5" s="905" t="s">
        <v>1226</v>
      </c>
      <c r="M5" s="905" t="s">
        <v>1198</v>
      </c>
      <c r="N5" s="905" t="s">
        <v>1107</v>
      </c>
      <c r="O5" s="905" t="s">
        <v>1102</v>
      </c>
    </row>
    <row r="6" spans="1:15" s="102" customFormat="1" ht="28.5" customHeight="1">
      <c r="A6" s="905"/>
      <c r="B6" s="905"/>
      <c r="C6" s="905"/>
      <c r="D6" s="905"/>
      <c r="E6" s="905"/>
      <c r="F6" s="889" t="s">
        <v>1149</v>
      </c>
      <c r="G6" s="889" t="s">
        <v>1150</v>
      </c>
      <c r="H6" s="889"/>
      <c r="I6" s="906"/>
      <c r="J6" s="905"/>
      <c r="K6" s="905"/>
      <c r="L6" s="905"/>
      <c r="M6" s="905"/>
      <c r="N6" s="905"/>
      <c r="O6" s="905"/>
    </row>
    <row r="7" spans="1:15" s="102" customFormat="1" ht="54.75" customHeight="1">
      <c r="A7" s="905"/>
      <c r="B7" s="905"/>
      <c r="C7" s="905"/>
      <c r="D7" s="905"/>
      <c r="E7" s="905"/>
      <c r="F7" s="889"/>
      <c r="G7" s="15" t="s">
        <v>1085</v>
      </c>
      <c r="H7" s="15" t="s">
        <v>1153</v>
      </c>
      <c r="I7" s="861"/>
      <c r="J7" s="905"/>
      <c r="K7" s="905"/>
      <c r="L7" s="905"/>
      <c r="M7" s="905"/>
      <c r="N7" s="905"/>
      <c r="O7" s="905"/>
    </row>
    <row r="8" spans="1:15" s="2" customFormat="1" ht="18" customHeight="1">
      <c r="A8" s="106"/>
      <c r="B8" s="103" t="s">
        <v>1078</v>
      </c>
      <c r="C8" s="106"/>
      <c r="D8" s="106"/>
      <c r="E8" s="106"/>
      <c r="F8" s="106"/>
      <c r="G8" s="106"/>
      <c r="H8" s="106"/>
      <c r="I8" s="106"/>
      <c r="J8" s="106"/>
      <c r="K8" s="106"/>
      <c r="L8" s="106"/>
      <c r="M8" s="106"/>
      <c r="N8" s="106"/>
      <c r="O8" s="106"/>
    </row>
    <row r="9" spans="1:15" ht="47.25">
      <c r="A9" s="103" t="s">
        <v>1077</v>
      </c>
      <c r="B9" s="104" t="s">
        <v>1108</v>
      </c>
      <c r="C9" s="108"/>
      <c r="D9" s="108"/>
      <c r="E9" s="108"/>
      <c r="F9" s="108"/>
      <c r="G9" s="108"/>
      <c r="H9" s="108"/>
      <c r="I9" s="108"/>
      <c r="J9" s="108"/>
      <c r="K9" s="108"/>
      <c r="L9" s="108"/>
      <c r="M9" s="108"/>
      <c r="N9" s="108"/>
      <c r="O9" s="108"/>
    </row>
    <row r="10" spans="1:15" ht="18" customHeight="1">
      <c r="A10" s="103" t="s">
        <v>1042</v>
      </c>
      <c r="B10" s="121" t="s">
        <v>1112</v>
      </c>
      <c r="C10" s="108"/>
      <c r="D10" s="108"/>
      <c r="E10" s="108"/>
      <c r="F10" s="108"/>
      <c r="G10" s="108"/>
      <c r="H10" s="108"/>
      <c r="I10" s="108"/>
      <c r="J10" s="108"/>
      <c r="K10" s="108"/>
      <c r="L10" s="108"/>
      <c r="M10" s="108"/>
      <c r="N10" s="108"/>
      <c r="O10" s="108"/>
    </row>
    <row r="11" spans="1:15" ht="18" customHeight="1">
      <c r="A11" s="103"/>
      <c r="B11" s="122" t="s">
        <v>1109</v>
      </c>
      <c r="C11" s="108"/>
      <c r="D11" s="108"/>
      <c r="E11" s="108"/>
      <c r="F11" s="108"/>
      <c r="G11" s="108"/>
      <c r="H11" s="108"/>
      <c r="I11" s="108"/>
      <c r="J11" s="108"/>
      <c r="K11" s="108"/>
      <c r="L11" s="108"/>
      <c r="M11" s="108"/>
      <c r="N11" s="108"/>
      <c r="O11" s="108"/>
    </row>
    <row r="12" spans="1:15" ht="18" customHeight="1">
      <c r="A12" s="105">
        <v>1</v>
      </c>
      <c r="B12" s="123" t="s">
        <v>1110</v>
      </c>
      <c r="C12" s="108"/>
      <c r="D12" s="108"/>
      <c r="E12" s="108"/>
      <c r="F12" s="108"/>
      <c r="G12" s="108"/>
      <c r="H12" s="108"/>
      <c r="I12" s="108"/>
      <c r="J12" s="108"/>
      <c r="K12" s="108"/>
      <c r="L12" s="108"/>
      <c r="M12" s="108"/>
      <c r="N12" s="108"/>
      <c r="O12" s="108"/>
    </row>
    <row r="13" spans="1:15" ht="18" customHeight="1">
      <c r="A13" s="105">
        <v>2</v>
      </c>
      <c r="B13" s="123" t="s">
        <v>1110</v>
      </c>
      <c r="C13" s="108"/>
      <c r="D13" s="108"/>
      <c r="E13" s="108"/>
      <c r="F13" s="108"/>
      <c r="G13" s="108"/>
      <c r="H13" s="108"/>
      <c r="I13" s="108"/>
      <c r="J13" s="108"/>
      <c r="K13" s="108"/>
      <c r="L13" s="108"/>
      <c r="M13" s="108"/>
      <c r="N13" s="108"/>
      <c r="O13" s="108"/>
    </row>
    <row r="14" spans="1:15" s="3" customFormat="1" ht="18" customHeight="1">
      <c r="A14" s="109"/>
      <c r="B14" s="110" t="s">
        <v>1082</v>
      </c>
      <c r="C14" s="110"/>
      <c r="D14" s="110"/>
      <c r="E14" s="110"/>
      <c r="F14" s="110"/>
      <c r="G14" s="110"/>
      <c r="H14" s="110"/>
      <c r="I14" s="110"/>
      <c r="J14" s="110"/>
      <c r="K14" s="110"/>
      <c r="L14" s="110"/>
      <c r="M14" s="110"/>
      <c r="N14" s="110"/>
      <c r="O14" s="110"/>
    </row>
    <row r="15" spans="1:15" ht="18" customHeight="1">
      <c r="A15" s="105">
        <v>1</v>
      </c>
      <c r="B15" s="123" t="s">
        <v>1083</v>
      </c>
      <c r="C15" s="108"/>
      <c r="D15" s="108"/>
      <c r="E15" s="108"/>
      <c r="F15" s="108"/>
      <c r="G15" s="108"/>
      <c r="H15" s="108"/>
      <c r="I15" s="108"/>
      <c r="J15" s="108"/>
      <c r="K15" s="108"/>
      <c r="L15" s="108"/>
      <c r="M15" s="108"/>
      <c r="N15" s="108"/>
      <c r="O15" s="108"/>
    </row>
    <row r="16" spans="1:15" ht="18" customHeight="1">
      <c r="A16" s="105">
        <v>2</v>
      </c>
      <c r="B16" s="123" t="s">
        <v>1083</v>
      </c>
      <c r="C16" s="108"/>
      <c r="D16" s="108"/>
      <c r="E16" s="108"/>
      <c r="F16" s="108"/>
      <c r="G16" s="108"/>
      <c r="H16" s="108"/>
      <c r="I16" s="108"/>
      <c r="J16" s="108"/>
      <c r="K16" s="108"/>
      <c r="L16" s="108"/>
      <c r="M16" s="108"/>
      <c r="N16" s="108"/>
      <c r="O16" s="108"/>
    </row>
    <row r="17" spans="1:15" s="3" customFormat="1" ht="39.75" customHeight="1">
      <c r="A17" s="103" t="s">
        <v>1066</v>
      </c>
      <c r="B17" s="113" t="s">
        <v>1113</v>
      </c>
      <c r="C17" s="110"/>
      <c r="D17" s="110"/>
      <c r="E17" s="110"/>
      <c r="F17" s="110"/>
      <c r="G17" s="110"/>
      <c r="H17" s="110"/>
      <c r="I17" s="110"/>
      <c r="J17" s="110"/>
      <c r="K17" s="110"/>
      <c r="L17" s="110"/>
      <c r="M17" s="110"/>
      <c r="N17" s="110"/>
      <c r="O17" s="110"/>
    </row>
    <row r="18" spans="1:15" ht="18" customHeight="1">
      <c r="A18" s="105">
        <v>1</v>
      </c>
      <c r="B18" s="123" t="s">
        <v>1110</v>
      </c>
      <c r="C18" s="108"/>
      <c r="D18" s="108"/>
      <c r="E18" s="108"/>
      <c r="F18" s="108"/>
      <c r="G18" s="108"/>
      <c r="H18" s="108"/>
      <c r="I18" s="108"/>
      <c r="J18" s="108"/>
      <c r="K18" s="108"/>
      <c r="L18" s="108"/>
      <c r="M18" s="108"/>
      <c r="N18" s="108"/>
      <c r="O18" s="108"/>
    </row>
    <row r="19" spans="1:15" ht="18" customHeight="1">
      <c r="A19" s="105">
        <v>2</v>
      </c>
      <c r="B19" s="123" t="s">
        <v>1110</v>
      </c>
      <c r="C19" s="108"/>
      <c r="D19" s="108"/>
      <c r="E19" s="108"/>
      <c r="F19" s="108"/>
      <c r="G19" s="108"/>
      <c r="H19" s="108"/>
      <c r="I19" s="108"/>
      <c r="J19" s="108"/>
      <c r="K19" s="108"/>
      <c r="L19" s="108"/>
      <c r="M19" s="108"/>
      <c r="N19" s="108"/>
      <c r="O19" s="108"/>
    </row>
    <row r="20" spans="1:15" ht="18" customHeight="1">
      <c r="A20" s="109"/>
      <c r="B20" s="110" t="s">
        <v>1082</v>
      </c>
      <c r="C20" s="108"/>
      <c r="D20" s="108"/>
      <c r="E20" s="108"/>
      <c r="F20" s="108"/>
      <c r="G20" s="108"/>
      <c r="H20" s="108"/>
      <c r="I20" s="108"/>
      <c r="J20" s="108"/>
      <c r="K20" s="108"/>
      <c r="L20" s="108"/>
      <c r="M20" s="108"/>
      <c r="N20" s="108"/>
      <c r="O20" s="108"/>
    </row>
    <row r="21" spans="1:15" ht="18" customHeight="1">
      <c r="A21" s="105">
        <v>1</v>
      </c>
      <c r="B21" s="123" t="s">
        <v>1083</v>
      </c>
      <c r="C21" s="108"/>
      <c r="D21" s="108"/>
      <c r="E21" s="108"/>
      <c r="F21" s="108"/>
      <c r="G21" s="108"/>
      <c r="H21" s="108"/>
      <c r="I21" s="108"/>
      <c r="J21" s="108"/>
      <c r="K21" s="108"/>
      <c r="L21" s="108"/>
      <c r="M21" s="108"/>
      <c r="N21" s="108"/>
      <c r="O21" s="108"/>
    </row>
    <row r="22" spans="1:15" ht="18" customHeight="1">
      <c r="A22" s="105">
        <v>2</v>
      </c>
      <c r="B22" s="123" t="s">
        <v>1083</v>
      </c>
      <c r="C22" s="108"/>
      <c r="D22" s="108"/>
      <c r="E22" s="108"/>
      <c r="F22" s="108"/>
      <c r="G22" s="108"/>
      <c r="H22" s="108"/>
      <c r="I22" s="108"/>
      <c r="J22" s="108"/>
      <c r="K22" s="108"/>
      <c r="L22" s="108"/>
      <c r="M22" s="108"/>
      <c r="N22" s="108"/>
      <c r="O22" s="108"/>
    </row>
    <row r="23" spans="1:15" ht="18" customHeight="1">
      <c r="A23" s="106" t="s">
        <v>1095</v>
      </c>
      <c r="B23" s="114" t="s">
        <v>1111</v>
      </c>
      <c r="C23" s="108"/>
      <c r="D23" s="108"/>
      <c r="E23" s="108"/>
      <c r="F23" s="108"/>
      <c r="G23" s="108"/>
      <c r="H23" s="108"/>
      <c r="I23" s="108"/>
      <c r="J23" s="108"/>
      <c r="K23" s="108"/>
      <c r="L23" s="108"/>
      <c r="M23" s="108"/>
      <c r="N23" s="108"/>
      <c r="O23" s="108"/>
    </row>
    <row r="24" spans="1:15" ht="18" customHeight="1">
      <c r="A24" s="108"/>
      <c r="B24" s="108" t="s">
        <v>1114</v>
      </c>
      <c r="C24" s="108"/>
      <c r="D24" s="108"/>
      <c r="E24" s="108"/>
      <c r="F24" s="108"/>
      <c r="G24" s="108"/>
      <c r="H24" s="108"/>
      <c r="I24" s="108"/>
      <c r="J24" s="108"/>
      <c r="K24" s="108"/>
      <c r="L24" s="108"/>
      <c r="M24" s="108"/>
      <c r="N24" s="108"/>
      <c r="O24" s="108"/>
    </row>
    <row r="25" spans="1:15" ht="63">
      <c r="A25" s="106" t="s">
        <v>1080</v>
      </c>
      <c r="B25" s="104" t="s">
        <v>1115</v>
      </c>
      <c r="C25" s="108"/>
      <c r="D25" s="108"/>
      <c r="E25" s="108"/>
      <c r="F25" s="108"/>
      <c r="G25" s="108"/>
      <c r="H25" s="108"/>
      <c r="I25" s="108"/>
      <c r="J25" s="108"/>
      <c r="K25" s="108"/>
      <c r="L25" s="108"/>
      <c r="M25" s="108"/>
      <c r="N25" s="108"/>
      <c r="O25" s="108"/>
    </row>
    <row r="26" spans="1:15" ht="15.75">
      <c r="A26" s="105">
        <v>1</v>
      </c>
      <c r="B26" s="123" t="s">
        <v>1083</v>
      </c>
      <c r="C26" s="108"/>
      <c r="D26" s="108"/>
      <c r="E26" s="108"/>
      <c r="F26" s="108"/>
      <c r="G26" s="108"/>
      <c r="H26" s="108"/>
      <c r="I26" s="108"/>
      <c r="J26" s="108"/>
      <c r="K26" s="108"/>
      <c r="L26" s="108"/>
      <c r="M26" s="108"/>
      <c r="N26" s="108"/>
      <c r="O26" s="108"/>
    </row>
    <row r="27" spans="1:15" ht="15.75">
      <c r="A27" s="105">
        <v>2</v>
      </c>
      <c r="B27" s="123" t="s">
        <v>1083</v>
      </c>
      <c r="C27" s="108"/>
      <c r="D27" s="108"/>
      <c r="E27" s="108"/>
      <c r="F27" s="108"/>
      <c r="G27" s="108"/>
      <c r="H27" s="108"/>
      <c r="I27" s="108"/>
      <c r="J27" s="108"/>
      <c r="K27" s="108"/>
      <c r="L27" s="108"/>
      <c r="M27" s="108"/>
      <c r="N27" s="108"/>
      <c r="O27" s="108"/>
    </row>
  </sheetData>
  <sheetProtection/>
  <mergeCells count="19">
    <mergeCell ref="M1:O1"/>
    <mergeCell ref="N4:O4"/>
    <mergeCell ref="F6:F7"/>
    <mergeCell ref="G6:H6"/>
    <mergeCell ref="F5:H5"/>
    <mergeCell ref="J5:J7"/>
    <mergeCell ref="A4:M4"/>
    <mergeCell ref="A5:A7"/>
    <mergeCell ref="B5:B7"/>
    <mergeCell ref="C5:C7"/>
    <mergeCell ref="K5:K7"/>
    <mergeCell ref="E5:E7"/>
    <mergeCell ref="I5:I7"/>
    <mergeCell ref="A3:O3"/>
    <mergeCell ref="D5:D7"/>
    <mergeCell ref="L5:L7"/>
    <mergeCell ref="M5:M7"/>
    <mergeCell ref="N5:N7"/>
    <mergeCell ref="O5:O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dimension ref="A1:AA146"/>
  <sheetViews>
    <sheetView zoomScale="70" zoomScaleNormal="70" zoomScalePageLayoutView="0" workbookViewId="0" topLeftCell="A1">
      <selection activeCell="K24" sqref="K24"/>
    </sheetView>
  </sheetViews>
  <sheetFormatPr defaultColWidth="9.00390625" defaultRowHeight="15.75"/>
  <cols>
    <col min="1" max="1" width="4.75390625" style="390" customWidth="1"/>
    <col min="2" max="2" width="48.375" style="381" customWidth="1"/>
    <col min="3" max="3" width="10.25390625" style="381" customWidth="1"/>
    <col min="4" max="4" width="7.25390625" style="381" bestFit="1" customWidth="1"/>
    <col min="5" max="5" width="6.375" style="381" bestFit="1" customWidth="1"/>
    <col min="6" max="6" width="8.375" style="381" hidden="1" customWidth="1"/>
    <col min="7" max="7" width="7.75390625" style="381" customWidth="1"/>
    <col min="8" max="8" width="7.25390625" style="390" bestFit="1" customWidth="1"/>
    <col min="9" max="9" width="8.375" style="390" hidden="1" customWidth="1"/>
    <col min="10" max="10" width="7.25390625" style="390" bestFit="1" customWidth="1"/>
    <col min="11" max="11" width="8.625" style="390" bestFit="1" customWidth="1"/>
    <col min="12" max="12" width="8.375" style="381" customWidth="1"/>
    <col min="13" max="16384" width="9.00390625" style="381" customWidth="1"/>
  </cols>
  <sheetData>
    <row r="1" spans="1:11" s="369" customFormat="1" ht="19.5">
      <c r="A1" s="911" t="s">
        <v>1094</v>
      </c>
      <c r="B1" s="911"/>
      <c r="C1" s="911"/>
      <c r="H1" s="370"/>
      <c r="K1" s="371"/>
    </row>
    <row r="2" spans="7:8" s="369" customFormat="1" ht="15.75">
      <c r="G2" s="370"/>
      <c r="H2" s="370"/>
    </row>
    <row r="3" spans="1:12" s="373" customFormat="1" ht="18.75">
      <c r="A3" s="912" t="s">
        <v>665</v>
      </c>
      <c r="B3" s="912"/>
      <c r="C3" s="912"/>
      <c r="D3" s="912"/>
      <c r="E3" s="912"/>
      <c r="F3" s="912"/>
      <c r="G3" s="912"/>
      <c r="H3" s="912"/>
      <c r="I3" s="912"/>
      <c r="J3" s="912"/>
      <c r="K3" s="912"/>
      <c r="L3" s="912"/>
    </row>
    <row r="4" spans="1:12" s="373" customFormat="1" ht="18.75">
      <c r="A4" s="372"/>
      <c r="B4" s="372"/>
      <c r="C4" s="372"/>
      <c r="D4" s="372"/>
      <c r="E4" s="372"/>
      <c r="F4" s="372"/>
      <c r="G4" s="372"/>
      <c r="H4" s="372"/>
      <c r="I4" s="372"/>
      <c r="J4" s="372"/>
      <c r="K4" s="372"/>
      <c r="L4" s="372"/>
    </row>
    <row r="5" spans="1:27" s="375" customFormat="1" ht="15">
      <c r="A5" s="910" t="s">
        <v>1124</v>
      </c>
      <c r="B5" s="910" t="s">
        <v>666</v>
      </c>
      <c r="C5" s="910" t="s">
        <v>215</v>
      </c>
      <c r="D5" s="910">
        <v>2011</v>
      </c>
      <c r="E5" s="910">
        <v>2012</v>
      </c>
      <c r="F5" s="910"/>
      <c r="G5" s="910">
        <v>2013</v>
      </c>
      <c r="H5" s="910">
        <v>2014</v>
      </c>
      <c r="I5" s="910"/>
      <c r="J5" s="910"/>
      <c r="K5" s="910"/>
      <c r="L5" s="910" t="s">
        <v>667</v>
      </c>
      <c r="M5" s="374"/>
      <c r="N5" s="374"/>
      <c r="O5" s="374"/>
      <c r="P5" s="374"/>
      <c r="Q5" s="374"/>
      <c r="R5" s="374"/>
      <c r="S5" s="374"/>
      <c r="T5" s="374"/>
      <c r="U5" s="374"/>
      <c r="V5" s="374"/>
      <c r="W5" s="374"/>
      <c r="X5" s="374"/>
      <c r="Y5" s="374"/>
      <c r="Z5" s="374"/>
      <c r="AA5" s="374"/>
    </row>
    <row r="6" spans="1:27" s="377" customFormat="1" ht="28.5">
      <c r="A6" s="910"/>
      <c r="B6" s="910"/>
      <c r="C6" s="910"/>
      <c r="D6" s="910"/>
      <c r="E6" s="910" t="s">
        <v>668</v>
      </c>
      <c r="F6" s="910" t="s">
        <v>669</v>
      </c>
      <c r="G6" s="910" t="s">
        <v>670</v>
      </c>
      <c r="H6" s="450" t="s">
        <v>671</v>
      </c>
      <c r="I6" s="450"/>
      <c r="J6" s="450" t="s">
        <v>672</v>
      </c>
      <c r="K6" s="450" t="s">
        <v>669</v>
      </c>
      <c r="L6" s="910" t="s">
        <v>668</v>
      </c>
      <c r="M6" s="376"/>
      <c r="N6" s="376"/>
      <c r="O6" s="376"/>
      <c r="P6" s="376"/>
      <c r="Q6" s="376"/>
      <c r="R6" s="376"/>
      <c r="S6" s="376"/>
      <c r="T6" s="376"/>
      <c r="U6" s="376"/>
      <c r="V6" s="376"/>
      <c r="W6" s="376"/>
      <c r="X6" s="376"/>
      <c r="Y6" s="376"/>
      <c r="Z6" s="376"/>
      <c r="AA6" s="376"/>
    </row>
    <row r="7" spans="1:27" s="379" customFormat="1" ht="15">
      <c r="A7" s="646" t="s">
        <v>1077</v>
      </c>
      <c r="B7" s="647" t="s">
        <v>673</v>
      </c>
      <c r="C7" s="648"/>
      <c r="D7" s="649"/>
      <c r="E7" s="649"/>
      <c r="F7" s="649"/>
      <c r="G7" s="649"/>
      <c r="H7" s="649"/>
      <c r="I7" s="649"/>
      <c r="J7" s="649"/>
      <c r="K7" s="649"/>
      <c r="L7" s="649"/>
      <c r="M7" s="378"/>
      <c r="N7" s="378"/>
      <c r="O7" s="378"/>
      <c r="P7" s="378"/>
      <c r="Q7" s="378"/>
      <c r="R7" s="378"/>
      <c r="S7" s="378"/>
      <c r="T7" s="378"/>
      <c r="U7" s="378"/>
      <c r="V7" s="378"/>
      <c r="W7" s="378"/>
      <c r="X7" s="378"/>
      <c r="Y7" s="378"/>
      <c r="Z7" s="378"/>
      <c r="AA7" s="378"/>
    </row>
    <row r="8" spans="1:27" ht="15">
      <c r="A8" s="650"/>
      <c r="B8" s="651" t="s">
        <v>674</v>
      </c>
      <c r="C8" s="652" t="s">
        <v>424</v>
      </c>
      <c r="D8" s="653">
        <v>90000</v>
      </c>
      <c r="E8" s="653">
        <v>90000</v>
      </c>
      <c r="F8" s="650"/>
      <c r="G8" s="653">
        <v>90000</v>
      </c>
      <c r="H8" s="653">
        <v>90000</v>
      </c>
      <c r="I8" s="653">
        <v>45798</v>
      </c>
      <c r="J8" s="653">
        <v>90000</v>
      </c>
      <c r="K8" s="654" t="s">
        <v>675</v>
      </c>
      <c r="L8" s="653">
        <v>90000</v>
      </c>
      <c r="M8" s="380"/>
      <c r="N8" s="380"/>
      <c r="O8" s="380"/>
      <c r="P8" s="380"/>
      <c r="Q8" s="380"/>
      <c r="R8" s="380"/>
      <c r="S8" s="380"/>
      <c r="T8" s="380"/>
      <c r="U8" s="380"/>
      <c r="V8" s="380"/>
      <c r="W8" s="380"/>
      <c r="X8" s="380"/>
      <c r="Y8" s="380"/>
      <c r="Z8" s="380"/>
      <c r="AA8" s="380"/>
    </row>
    <row r="9" spans="1:27" ht="15">
      <c r="A9" s="650"/>
      <c r="B9" s="651" t="s">
        <v>676</v>
      </c>
      <c r="C9" s="652" t="s">
        <v>1040</v>
      </c>
      <c r="D9" s="653" t="s">
        <v>677</v>
      </c>
      <c r="E9" s="653" t="s">
        <v>553</v>
      </c>
      <c r="F9" s="650"/>
      <c r="G9" s="653" t="s">
        <v>553</v>
      </c>
      <c r="H9" s="655">
        <v>2.5</v>
      </c>
      <c r="I9" s="653" t="s">
        <v>553</v>
      </c>
      <c r="J9" s="653" t="s">
        <v>553</v>
      </c>
      <c r="K9" s="654" t="s">
        <v>675</v>
      </c>
      <c r="L9" s="653" t="s">
        <v>553</v>
      </c>
      <c r="M9" s="380"/>
      <c r="N9" s="380"/>
      <c r="O9" s="380"/>
      <c r="P9" s="380"/>
      <c r="Q9" s="380"/>
      <c r="R9" s="380"/>
      <c r="S9" s="380"/>
      <c r="T9" s="380"/>
      <c r="U9" s="380"/>
      <c r="V9" s="380"/>
      <c r="W9" s="380"/>
      <c r="X9" s="380"/>
      <c r="Y9" s="380"/>
      <c r="Z9" s="380"/>
      <c r="AA9" s="380"/>
    </row>
    <row r="10" spans="1:27" ht="15">
      <c r="A10" s="650"/>
      <c r="B10" s="651" t="s">
        <v>678</v>
      </c>
      <c r="C10" s="652" t="s">
        <v>1040</v>
      </c>
      <c r="D10" s="653">
        <v>89</v>
      </c>
      <c r="E10" s="653">
        <v>89</v>
      </c>
      <c r="F10" s="650"/>
      <c r="G10" s="656">
        <v>90</v>
      </c>
      <c r="H10" s="655">
        <v>90</v>
      </c>
      <c r="I10" s="656">
        <v>90</v>
      </c>
      <c r="J10" s="653"/>
      <c r="K10" s="654" t="s">
        <v>675</v>
      </c>
      <c r="L10" s="657">
        <v>92</v>
      </c>
      <c r="M10" s="380"/>
      <c r="N10" s="380"/>
      <c r="O10" s="380"/>
      <c r="P10" s="380"/>
      <c r="Q10" s="380"/>
      <c r="R10" s="380"/>
      <c r="S10" s="380"/>
      <c r="T10" s="380"/>
      <c r="U10" s="380"/>
      <c r="V10" s="380"/>
      <c r="W10" s="380"/>
      <c r="X10" s="380"/>
      <c r="Y10" s="380"/>
      <c r="Z10" s="380"/>
      <c r="AA10" s="380"/>
    </row>
    <row r="11" spans="1:27" ht="15">
      <c r="A11" s="650"/>
      <c r="B11" s="658" t="s">
        <v>679</v>
      </c>
      <c r="C11" s="652" t="s">
        <v>424</v>
      </c>
      <c r="D11" s="656">
        <v>200</v>
      </c>
      <c r="E11" s="656">
        <v>86</v>
      </c>
      <c r="F11" s="650"/>
      <c r="G11" s="656">
        <v>90</v>
      </c>
      <c r="H11" s="655">
        <v>200</v>
      </c>
      <c r="I11" s="656"/>
      <c r="J11" s="656">
        <v>200</v>
      </c>
      <c r="K11" s="654" t="s">
        <v>675</v>
      </c>
      <c r="L11" s="657">
        <v>100</v>
      </c>
      <c r="M11" s="380"/>
      <c r="N11" s="380"/>
      <c r="O11" s="380"/>
      <c r="P11" s="380"/>
      <c r="Q11" s="380"/>
      <c r="R11" s="380"/>
      <c r="S11" s="380"/>
      <c r="T11" s="380"/>
      <c r="U11" s="380"/>
      <c r="V11" s="380"/>
      <c r="W11" s="380"/>
      <c r="X11" s="380"/>
      <c r="Y11" s="380"/>
      <c r="Z11" s="380"/>
      <c r="AA11" s="380"/>
    </row>
    <row r="12" spans="1:27" s="383" customFormat="1" ht="15">
      <c r="A12" s="659"/>
      <c r="B12" s="660" t="s">
        <v>680</v>
      </c>
      <c r="C12" s="652" t="s">
        <v>1040</v>
      </c>
      <c r="D12" s="656">
        <v>54</v>
      </c>
      <c r="E12" s="656">
        <v>58</v>
      </c>
      <c r="F12" s="661"/>
      <c r="G12" s="656">
        <v>60</v>
      </c>
      <c r="H12" s="662">
        <v>62</v>
      </c>
      <c r="I12" s="656">
        <v>61</v>
      </c>
      <c r="J12" s="656">
        <v>62</v>
      </c>
      <c r="K12" s="654" t="s">
        <v>675</v>
      </c>
      <c r="L12" s="657">
        <v>65</v>
      </c>
      <c r="M12" s="382"/>
      <c r="N12" s="382"/>
      <c r="O12" s="382"/>
      <c r="P12" s="382"/>
      <c r="Q12" s="382"/>
      <c r="R12" s="382"/>
      <c r="S12" s="382"/>
      <c r="T12" s="382"/>
      <c r="U12" s="382"/>
      <c r="V12" s="382"/>
      <c r="W12" s="382"/>
      <c r="X12" s="382"/>
      <c r="Y12" s="382"/>
      <c r="Z12" s="382"/>
      <c r="AA12" s="382"/>
    </row>
    <row r="13" spans="1:27" ht="15">
      <c r="A13" s="650"/>
      <c r="B13" s="651" t="s">
        <v>681</v>
      </c>
      <c r="C13" s="652" t="s">
        <v>1040</v>
      </c>
      <c r="D13" s="656" t="s">
        <v>682</v>
      </c>
      <c r="E13" s="656">
        <v>44.5</v>
      </c>
      <c r="F13" s="650"/>
      <c r="G13" s="656">
        <v>46.1</v>
      </c>
      <c r="H13" s="655" t="s">
        <v>682</v>
      </c>
      <c r="I13" s="656">
        <v>47</v>
      </c>
      <c r="J13" s="656">
        <v>48</v>
      </c>
      <c r="K13" s="654" t="s">
        <v>675</v>
      </c>
      <c r="L13" s="657">
        <v>50</v>
      </c>
      <c r="M13" s="380"/>
      <c r="N13" s="380"/>
      <c r="O13" s="380"/>
      <c r="P13" s="380"/>
      <c r="Q13" s="380"/>
      <c r="R13" s="380"/>
      <c r="S13" s="380"/>
      <c r="T13" s="380"/>
      <c r="U13" s="380"/>
      <c r="V13" s="380"/>
      <c r="W13" s="380"/>
      <c r="X13" s="380"/>
      <c r="Y13" s="380"/>
      <c r="Z13" s="380"/>
      <c r="AA13" s="380"/>
    </row>
    <row r="14" spans="1:27" ht="15">
      <c r="A14" s="650"/>
      <c r="B14" s="660" t="s">
        <v>683</v>
      </c>
      <c r="C14" s="652" t="s">
        <v>684</v>
      </c>
      <c r="D14" s="653">
        <v>59300</v>
      </c>
      <c r="E14" s="653">
        <v>69323</v>
      </c>
      <c r="F14" s="650"/>
      <c r="G14" s="653">
        <v>64935</v>
      </c>
      <c r="H14" s="662">
        <v>59300</v>
      </c>
      <c r="I14" s="653">
        <v>30379</v>
      </c>
      <c r="J14" s="653">
        <v>62800</v>
      </c>
      <c r="K14" s="654" t="s">
        <v>675</v>
      </c>
      <c r="L14" s="663">
        <v>62900</v>
      </c>
      <c r="M14" s="380"/>
      <c r="N14" s="380"/>
      <c r="O14" s="380"/>
      <c r="P14" s="380"/>
      <c r="Q14" s="380"/>
      <c r="R14" s="380"/>
      <c r="S14" s="380"/>
      <c r="T14" s="380"/>
      <c r="U14" s="380"/>
      <c r="V14" s="380"/>
      <c r="W14" s="380"/>
      <c r="X14" s="380"/>
      <c r="Y14" s="380"/>
      <c r="Z14" s="380"/>
      <c r="AA14" s="380"/>
    </row>
    <row r="15" spans="1:27" ht="30">
      <c r="A15" s="650"/>
      <c r="B15" s="658" t="s">
        <v>685</v>
      </c>
      <c r="C15" s="250" t="s">
        <v>424</v>
      </c>
      <c r="D15" s="653">
        <v>3000</v>
      </c>
      <c r="E15" s="653">
        <v>3000</v>
      </c>
      <c r="F15" s="650"/>
      <c r="G15" s="653">
        <v>3000</v>
      </c>
      <c r="H15" s="650"/>
      <c r="I15" s="653">
        <v>2040</v>
      </c>
      <c r="J15" s="653">
        <v>4000</v>
      </c>
      <c r="K15" s="654" t="s">
        <v>675</v>
      </c>
      <c r="L15" s="653">
        <v>5000</v>
      </c>
      <c r="M15" s="380"/>
      <c r="N15" s="380"/>
      <c r="O15" s="380"/>
      <c r="P15" s="380"/>
      <c r="Q15" s="380"/>
      <c r="R15" s="380"/>
      <c r="S15" s="380"/>
      <c r="T15" s="380"/>
      <c r="U15" s="380"/>
      <c r="V15" s="380"/>
      <c r="W15" s="380"/>
      <c r="X15" s="380"/>
      <c r="Y15" s="380"/>
      <c r="Z15" s="380"/>
      <c r="AA15" s="380"/>
    </row>
    <row r="16" spans="1:27" ht="15">
      <c r="A16" s="650"/>
      <c r="B16" s="658" t="s">
        <v>686</v>
      </c>
      <c r="C16" s="250" t="s">
        <v>1040</v>
      </c>
      <c r="D16" s="664"/>
      <c r="E16" s="653" t="s">
        <v>687</v>
      </c>
      <c r="F16" s="665" t="e">
        <f>(E16/#REF!)*100</f>
        <v>#REF!</v>
      </c>
      <c r="G16" s="653" t="s">
        <v>687</v>
      </c>
      <c r="H16" s="664"/>
      <c r="I16" s="656">
        <v>1</v>
      </c>
      <c r="J16" s="656">
        <v>1</v>
      </c>
      <c r="K16" s="654" t="s">
        <v>675</v>
      </c>
      <c r="L16" s="657">
        <v>1</v>
      </c>
      <c r="M16" s="380"/>
      <c r="N16" s="380"/>
      <c r="O16" s="380"/>
      <c r="P16" s="380"/>
      <c r="Q16" s="380"/>
      <c r="R16" s="380"/>
      <c r="S16" s="380"/>
      <c r="T16" s="380"/>
      <c r="U16" s="380"/>
      <c r="V16" s="380"/>
      <c r="W16" s="380"/>
      <c r="X16" s="380"/>
      <c r="Y16" s="380"/>
      <c r="Z16" s="380"/>
      <c r="AA16" s="380"/>
    </row>
    <row r="17" spans="1:27" s="379" customFormat="1" ht="29.25">
      <c r="A17" s="666" t="s">
        <v>1080</v>
      </c>
      <c r="B17" s="667" t="s">
        <v>688</v>
      </c>
      <c r="C17" s="668"/>
      <c r="D17" s="669"/>
      <c r="E17" s="669"/>
      <c r="F17" s="669"/>
      <c r="G17" s="669"/>
      <c r="H17" s="670"/>
      <c r="I17" s="670"/>
      <c r="J17" s="670"/>
      <c r="K17" s="670"/>
      <c r="L17" s="669"/>
      <c r="M17" s="378"/>
      <c r="N17" s="378"/>
      <c r="O17" s="378"/>
      <c r="P17" s="378"/>
      <c r="Q17" s="378"/>
      <c r="R17" s="378"/>
      <c r="S17" s="378"/>
      <c r="T17" s="378"/>
      <c r="U17" s="378"/>
      <c r="V17" s="378"/>
      <c r="W17" s="378"/>
      <c r="X17" s="378"/>
      <c r="Y17" s="378"/>
      <c r="Z17" s="378"/>
      <c r="AA17" s="378"/>
    </row>
    <row r="18" spans="1:27" ht="15">
      <c r="A18" s="654"/>
      <c r="B18" s="253" t="s">
        <v>689</v>
      </c>
      <c r="C18" s="671" t="s">
        <v>1040</v>
      </c>
      <c r="D18" s="672">
        <v>75.2</v>
      </c>
      <c r="E18" s="661">
        <v>79.02</v>
      </c>
      <c r="F18" s="673" t="e">
        <f>(E18/#REF!)*100</f>
        <v>#REF!</v>
      </c>
      <c r="G18" s="674">
        <v>83.11</v>
      </c>
      <c r="H18" s="251">
        <v>86.8</v>
      </c>
      <c r="I18" s="675" t="e">
        <f>(#REF!/#REF!)*100</f>
        <v>#REF!</v>
      </c>
      <c r="J18" s="654">
        <v>86.8</v>
      </c>
      <c r="K18" s="654" t="s">
        <v>675</v>
      </c>
      <c r="L18" s="661">
        <v>92</v>
      </c>
      <c r="M18" s="380"/>
      <c r="N18" s="380"/>
      <c r="O18" s="380"/>
      <c r="P18" s="380"/>
      <c r="Q18" s="380"/>
      <c r="R18" s="380"/>
      <c r="S18" s="380"/>
      <c r="T18" s="380"/>
      <c r="U18" s="380"/>
      <c r="V18" s="380"/>
      <c r="W18" s="380"/>
      <c r="X18" s="380"/>
      <c r="Y18" s="380"/>
      <c r="Z18" s="380"/>
      <c r="AA18" s="380"/>
    </row>
    <row r="19" spans="1:27" s="383" customFormat="1" ht="15">
      <c r="A19" s="654"/>
      <c r="B19" s="676" t="s">
        <v>690</v>
      </c>
      <c r="C19" s="671" t="s">
        <v>1040</v>
      </c>
      <c r="D19" s="672">
        <v>69</v>
      </c>
      <c r="E19" s="661">
        <v>74.1</v>
      </c>
      <c r="F19" s="673" t="e">
        <f>(E19/#REF!)*100</f>
        <v>#REF!</v>
      </c>
      <c r="G19" s="674">
        <v>79.2</v>
      </c>
      <c r="H19" s="251">
        <v>84.5</v>
      </c>
      <c r="I19" s="675" t="e">
        <f>(#REF!/#REF!)*100</f>
        <v>#REF!</v>
      </c>
      <c r="J19" s="654">
        <v>84.5</v>
      </c>
      <c r="K19" s="654" t="s">
        <v>675</v>
      </c>
      <c r="L19" s="661">
        <v>90</v>
      </c>
      <c r="M19" s="382"/>
      <c r="N19" s="382"/>
      <c r="O19" s="382"/>
      <c r="P19" s="382"/>
      <c r="Q19" s="382"/>
      <c r="R19" s="382"/>
      <c r="S19" s="382"/>
      <c r="T19" s="382"/>
      <c r="U19" s="382"/>
      <c r="V19" s="382"/>
      <c r="W19" s="382"/>
      <c r="X19" s="382"/>
      <c r="Y19" s="382"/>
      <c r="Z19" s="382"/>
      <c r="AA19" s="382"/>
    </row>
    <row r="20" spans="1:27" ht="30">
      <c r="A20" s="654"/>
      <c r="B20" s="676" t="s">
        <v>691</v>
      </c>
      <c r="C20" s="671" t="s">
        <v>1040</v>
      </c>
      <c r="D20" s="672">
        <v>92.08</v>
      </c>
      <c r="E20" s="661">
        <v>93.1</v>
      </c>
      <c r="F20" s="673" t="e">
        <f>(E20/#REF!)*100</f>
        <v>#REF!</v>
      </c>
      <c r="G20" s="677">
        <v>93.8</v>
      </c>
      <c r="H20" s="652">
        <v>94.4</v>
      </c>
      <c r="I20" s="675" t="e">
        <f>(#REF!/#REF!)*100</f>
        <v>#REF!</v>
      </c>
      <c r="J20" s="654">
        <v>94.4</v>
      </c>
      <c r="K20" s="654" t="s">
        <v>675</v>
      </c>
      <c r="L20" s="661">
        <v>95</v>
      </c>
      <c r="M20" s="380"/>
      <c r="N20" s="380"/>
      <c r="O20" s="380"/>
      <c r="P20" s="380"/>
      <c r="Q20" s="380"/>
      <c r="R20" s="380"/>
      <c r="S20" s="380"/>
      <c r="T20" s="380"/>
      <c r="U20" s="380"/>
      <c r="V20" s="380"/>
      <c r="W20" s="380"/>
      <c r="X20" s="380"/>
      <c r="Y20" s="380"/>
      <c r="Z20" s="380"/>
      <c r="AA20" s="380"/>
    </row>
    <row r="21" spans="1:27" s="386" customFormat="1" ht="15">
      <c r="A21" s="654"/>
      <c r="B21" s="676" t="s">
        <v>692</v>
      </c>
      <c r="C21" s="671" t="s">
        <v>1040</v>
      </c>
      <c r="D21" s="678"/>
      <c r="E21" s="650">
        <v>94</v>
      </c>
      <c r="F21" s="673" t="e">
        <f>(E21/#REF!)*100</f>
        <v>#REF!</v>
      </c>
      <c r="G21" s="679">
        <v>95</v>
      </c>
      <c r="H21" s="652">
        <v>96</v>
      </c>
      <c r="I21" s="673" t="e">
        <f>(#REF!/#REF!)*100</f>
        <v>#REF!</v>
      </c>
      <c r="J21" s="679">
        <v>96</v>
      </c>
      <c r="K21" s="654" t="s">
        <v>675</v>
      </c>
      <c r="L21" s="680">
        <v>100</v>
      </c>
      <c r="M21" s="384"/>
      <c r="N21" s="385"/>
      <c r="O21" s="385"/>
      <c r="P21" s="385"/>
      <c r="Q21" s="385"/>
      <c r="R21" s="385"/>
      <c r="S21" s="385"/>
      <c r="T21" s="385"/>
      <c r="U21" s="385"/>
      <c r="V21" s="385"/>
      <c r="W21" s="385"/>
      <c r="X21" s="385"/>
      <c r="Y21" s="385"/>
      <c r="Z21" s="385"/>
      <c r="AA21" s="385"/>
    </row>
    <row r="22" spans="1:27" s="386" customFormat="1" ht="15">
      <c r="A22" s="654"/>
      <c r="B22" s="676" t="s">
        <v>693</v>
      </c>
      <c r="C22" s="671"/>
      <c r="D22" s="678"/>
      <c r="E22" s="650">
        <v>93</v>
      </c>
      <c r="F22" s="673"/>
      <c r="G22" s="679">
        <v>97</v>
      </c>
      <c r="H22" s="652">
        <v>100</v>
      </c>
      <c r="I22" s="673"/>
      <c r="J22" s="679">
        <v>100</v>
      </c>
      <c r="K22" s="654" t="s">
        <v>675</v>
      </c>
      <c r="L22" s="680">
        <v>100</v>
      </c>
      <c r="M22" s="387"/>
      <c r="N22" s="385"/>
      <c r="O22" s="385"/>
      <c r="P22" s="385"/>
      <c r="Q22" s="385"/>
      <c r="R22" s="385"/>
      <c r="S22" s="385"/>
      <c r="T22" s="385"/>
      <c r="U22" s="385"/>
      <c r="V22" s="385"/>
      <c r="W22" s="385"/>
      <c r="X22" s="385"/>
      <c r="Y22" s="385"/>
      <c r="Z22" s="385"/>
      <c r="AA22" s="385"/>
    </row>
    <row r="23" spans="1:27" s="386" customFormat="1" ht="15">
      <c r="A23" s="654"/>
      <c r="B23" s="676" t="s">
        <v>694</v>
      </c>
      <c r="C23" s="671" t="s">
        <v>1040</v>
      </c>
      <c r="D23" s="678"/>
      <c r="E23" s="650"/>
      <c r="F23" s="673" t="e">
        <f>(E23/#REF!)*100</f>
        <v>#REF!</v>
      </c>
      <c r="G23" s="654">
        <v>92.42</v>
      </c>
      <c r="H23" s="652">
        <v>92.42</v>
      </c>
      <c r="I23" s="654">
        <v>92.42</v>
      </c>
      <c r="J23" s="654">
        <v>92.42</v>
      </c>
      <c r="K23" s="654" t="s">
        <v>675</v>
      </c>
      <c r="L23" s="650">
        <v>94.81</v>
      </c>
      <c r="M23" s="385"/>
      <c r="N23" s="385"/>
      <c r="O23" s="385"/>
      <c r="P23" s="385"/>
      <c r="Q23" s="385"/>
      <c r="R23" s="385"/>
      <c r="S23" s="385"/>
      <c r="T23" s="385"/>
      <c r="U23" s="385"/>
      <c r="V23" s="385"/>
      <c r="W23" s="385"/>
      <c r="X23" s="385"/>
      <c r="Y23" s="385"/>
      <c r="Z23" s="385"/>
      <c r="AA23" s="385"/>
    </row>
    <row r="24" spans="1:27" s="386" customFormat="1" ht="30">
      <c r="A24" s="654"/>
      <c r="B24" s="676" t="s">
        <v>695</v>
      </c>
      <c r="C24" s="671" t="s">
        <v>1040</v>
      </c>
      <c r="D24" s="678"/>
      <c r="E24" s="650"/>
      <c r="F24" s="673"/>
      <c r="G24" s="679"/>
      <c r="H24" s="652">
        <v>100</v>
      </c>
      <c r="I24" s="675" t="e">
        <f>(#REF!/#REF!)*100</f>
        <v>#REF!</v>
      </c>
      <c r="J24" s="654">
        <v>100</v>
      </c>
      <c r="K24" s="654" t="s">
        <v>675</v>
      </c>
      <c r="L24" s="650">
        <v>100</v>
      </c>
      <c r="M24" s="385"/>
      <c r="N24" s="385"/>
      <c r="O24" s="385"/>
      <c r="P24" s="385"/>
      <c r="Q24" s="385"/>
      <c r="R24" s="385"/>
      <c r="S24" s="385"/>
      <c r="T24" s="385"/>
      <c r="U24" s="385"/>
      <c r="V24" s="385"/>
      <c r="W24" s="385"/>
      <c r="X24" s="385"/>
      <c r="Y24" s="385"/>
      <c r="Z24" s="385"/>
      <c r="AA24" s="385"/>
    </row>
    <row r="25" spans="1:27" s="389" customFormat="1" ht="29.25">
      <c r="A25" s="681" t="s">
        <v>1121</v>
      </c>
      <c r="B25" s="682" t="s">
        <v>696</v>
      </c>
      <c r="C25" s="669"/>
      <c r="D25" s="669"/>
      <c r="E25" s="669"/>
      <c r="F25" s="669"/>
      <c r="G25" s="669"/>
      <c r="H25" s="670"/>
      <c r="I25" s="670"/>
      <c r="J25" s="670"/>
      <c r="K25" s="670"/>
      <c r="L25" s="669"/>
      <c r="M25" s="388"/>
      <c r="N25" s="388"/>
      <c r="O25" s="388"/>
      <c r="P25" s="388"/>
      <c r="Q25" s="388"/>
      <c r="R25" s="388"/>
      <c r="S25" s="388"/>
      <c r="T25" s="388"/>
      <c r="U25" s="388"/>
      <c r="V25" s="388"/>
      <c r="W25" s="388"/>
      <c r="X25" s="388"/>
      <c r="Y25" s="388"/>
      <c r="Z25" s="388"/>
      <c r="AA25" s="388"/>
    </row>
    <row r="26" spans="1:27" ht="15">
      <c r="A26" s="654"/>
      <c r="B26" s="253" t="s">
        <v>697</v>
      </c>
      <c r="C26" s="473" t="s">
        <v>1040</v>
      </c>
      <c r="D26" s="683">
        <v>1.1</v>
      </c>
      <c r="E26" s="650" t="s">
        <v>698</v>
      </c>
      <c r="F26" s="684">
        <v>100</v>
      </c>
      <c r="G26" s="684">
        <v>1.09</v>
      </c>
      <c r="H26" s="650" t="s">
        <v>698</v>
      </c>
      <c r="I26" s="654">
        <v>100</v>
      </c>
      <c r="J26" s="650" t="s">
        <v>698</v>
      </c>
      <c r="K26" s="654" t="s">
        <v>675</v>
      </c>
      <c r="L26" s="650" t="s">
        <v>698</v>
      </c>
      <c r="M26" s="380"/>
      <c r="N26" s="380"/>
      <c r="O26" s="380"/>
      <c r="P26" s="380"/>
      <c r="Q26" s="380"/>
      <c r="R26" s="380"/>
      <c r="S26" s="380"/>
      <c r="T26" s="380"/>
      <c r="U26" s="380"/>
      <c r="V26" s="380"/>
      <c r="W26" s="380"/>
      <c r="X26" s="380"/>
      <c r="Y26" s="380"/>
      <c r="Z26" s="380"/>
      <c r="AA26" s="380"/>
    </row>
    <row r="27" spans="1:27" ht="15">
      <c r="A27" s="654"/>
      <c r="B27" s="685" t="s">
        <v>699</v>
      </c>
      <c r="C27" s="473" t="s">
        <v>1040</v>
      </c>
      <c r="D27" s="686">
        <v>0.02</v>
      </c>
      <c r="E27" s="664">
        <v>0.1</v>
      </c>
      <c r="F27" s="665" t="e">
        <f>(E27/#REF!)*100</f>
        <v>#REF!</v>
      </c>
      <c r="G27" s="664">
        <v>0.05</v>
      </c>
      <c r="H27" s="687">
        <v>0.05</v>
      </c>
      <c r="I27" s="689" t="e">
        <f>(#REF!/#REF!)*100</f>
        <v>#REF!</v>
      </c>
      <c r="J27" s="654">
        <v>0.05</v>
      </c>
      <c r="K27" s="654" t="s">
        <v>675</v>
      </c>
      <c r="L27" s="664">
        <v>0.05</v>
      </c>
      <c r="M27" s="380"/>
      <c r="N27" s="380"/>
      <c r="O27" s="380"/>
      <c r="P27" s="380"/>
      <c r="Q27" s="380"/>
      <c r="R27" s="380"/>
      <c r="S27" s="380"/>
      <c r="T27" s="380"/>
      <c r="U27" s="380"/>
      <c r="V27" s="380"/>
      <c r="W27" s="380"/>
      <c r="X27" s="380"/>
      <c r="Y27" s="380"/>
      <c r="Z27" s="380"/>
      <c r="AA27" s="380"/>
    </row>
    <row r="28" spans="1:27" ht="15">
      <c r="A28" s="654"/>
      <c r="B28" s="676" t="s">
        <v>700</v>
      </c>
      <c r="C28" s="250" t="s">
        <v>1040</v>
      </c>
      <c r="D28" s="678"/>
      <c r="E28" s="664">
        <v>27.26</v>
      </c>
      <c r="F28" s="690" t="s">
        <v>701</v>
      </c>
      <c r="G28" s="684">
        <v>50</v>
      </c>
      <c r="H28" s="652">
        <v>40</v>
      </c>
      <c r="I28" s="690" t="s">
        <v>701</v>
      </c>
      <c r="J28" s="654">
        <v>40</v>
      </c>
      <c r="K28" s="654" t="s">
        <v>675</v>
      </c>
      <c r="L28" s="664">
        <v>50</v>
      </c>
      <c r="M28" s="380"/>
      <c r="N28" s="380"/>
      <c r="O28" s="380"/>
      <c r="P28" s="380"/>
      <c r="Q28" s="380"/>
      <c r="R28" s="380"/>
      <c r="S28" s="380"/>
      <c r="T28" s="380"/>
      <c r="U28" s="380"/>
      <c r="V28" s="380"/>
      <c r="W28" s="380"/>
      <c r="X28" s="380"/>
      <c r="Y28" s="380"/>
      <c r="Z28" s="380"/>
      <c r="AA28" s="380"/>
    </row>
    <row r="29" spans="1:27" ht="15">
      <c r="A29" s="654"/>
      <c r="B29" s="676" t="s">
        <v>702</v>
      </c>
      <c r="C29" s="250" t="s">
        <v>1040</v>
      </c>
      <c r="D29" s="678"/>
      <c r="E29" s="664">
        <v>9.51</v>
      </c>
      <c r="F29" s="665" t="e">
        <f>(E29/#REF!)*100</f>
        <v>#REF!</v>
      </c>
      <c r="G29" s="684">
        <v>30</v>
      </c>
      <c r="H29" s="652">
        <v>20</v>
      </c>
      <c r="I29" s="689" t="e">
        <f>(#REF!/#REF!)*100</f>
        <v>#REF!</v>
      </c>
      <c r="J29" s="654">
        <v>20</v>
      </c>
      <c r="K29" s="654" t="s">
        <v>675</v>
      </c>
      <c r="L29" s="664">
        <v>20</v>
      </c>
      <c r="M29" s="380"/>
      <c r="N29" s="380"/>
      <c r="O29" s="380"/>
      <c r="P29" s="380"/>
      <c r="Q29" s="380"/>
      <c r="R29" s="380"/>
      <c r="S29" s="380"/>
      <c r="T29" s="380"/>
      <c r="U29" s="380"/>
      <c r="V29" s="380"/>
      <c r="W29" s="380"/>
      <c r="X29" s="380"/>
      <c r="Y29" s="380"/>
      <c r="Z29" s="380"/>
      <c r="AA29" s="380"/>
    </row>
    <row r="30" spans="1:27" ht="30">
      <c r="A30" s="654"/>
      <c r="B30" s="676" t="s">
        <v>703</v>
      </c>
      <c r="C30" s="250" t="s">
        <v>1116</v>
      </c>
      <c r="D30" s="653">
        <v>197206</v>
      </c>
      <c r="E30" s="653"/>
      <c r="F30" s="653"/>
      <c r="G30" s="653">
        <v>165000</v>
      </c>
      <c r="H30" s="653">
        <v>119230</v>
      </c>
      <c r="I30" s="653"/>
      <c r="J30" s="653">
        <v>119230</v>
      </c>
      <c r="K30" s="654" t="s">
        <v>675</v>
      </c>
      <c r="L30" s="653">
        <v>119230</v>
      </c>
      <c r="M30" s="380"/>
      <c r="N30" s="380"/>
      <c r="O30" s="380"/>
      <c r="P30" s="380"/>
      <c r="Q30" s="380"/>
      <c r="R30" s="380"/>
      <c r="S30" s="380"/>
      <c r="T30" s="380"/>
      <c r="U30" s="380"/>
      <c r="V30" s="380"/>
      <c r="W30" s="380"/>
      <c r="X30" s="380"/>
      <c r="Y30" s="380"/>
      <c r="Z30" s="380"/>
      <c r="AA30" s="380"/>
    </row>
    <row r="31" spans="1:27" ht="15">
      <c r="A31" s="654"/>
      <c r="B31" s="691" t="s">
        <v>704</v>
      </c>
      <c r="C31" s="688" t="s">
        <v>705</v>
      </c>
      <c r="D31" s="684"/>
      <c r="E31" s="684"/>
      <c r="F31" s="684"/>
      <c r="G31" s="692">
        <v>-1</v>
      </c>
      <c r="H31" s="654">
        <v>0.2</v>
      </c>
      <c r="I31" s="654"/>
      <c r="J31" s="654">
        <v>0.2</v>
      </c>
      <c r="K31" s="654" t="s">
        <v>675</v>
      </c>
      <c r="L31" s="684">
        <v>0.2</v>
      </c>
      <c r="M31" s="380"/>
      <c r="N31" s="380"/>
      <c r="O31" s="380"/>
      <c r="P31" s="380"/>
      <c r="Q31" s="380"/>
      <c r="R31" s="380"/>
      <c r="S31" s="380"/>
      <c r="T31" s="380"/>
      <c r="U31" s="380"/>
      <c r="V31" s="380"/>
      <c r="W31" s="380"/>
      <c r="X31" s="380"/>
      <c r="Y31" s="380"/>
      <c r="Z31" s="380"/>
      <c r="AA31" s="380"/>
    </row>
    <row r="32" spans="1:27" s="389" customFormat="1" ht="15">
      <c r="A32" s="666" t="s">
        <v>1139</v>
      </c>
      <c r="B32" s="682" t="s">
        <v>706</v>
      </c>
      <c r="C32" s="668"/>
      <c r="D32" s="668"/>
      <c r="E32" s="668"/>
      <c r="F32" s="668"/>
      <c r="G32" s="668"/>
      <c r="H32" s="693"/>
      <c r="I32" s="693"/>
      <c r="J32" s="670"/>
      <c r="K32" s="670"/>
      <c r="L32" s="668"/>
      <c r="M32" s="388"/>
      <c r="N32" s="388"/>
      <c r="O32" s="388"/>
      <c r="P32" s="388"/>
      <c r="Q32" s="388"/>
      <c r="R32" s="388"/>
      <c r="S32" s="388"/>
      <c r="T32" s="388"/>
      <c r="U32" s="388"/>
      <c r="V32" s="388"/>
      <c r="W32" s="388"/>
      <c r="X32" s="388"/>
      <c r="Y32" s="388"/>
      <c r="Z32" s="388"/>
      <c r="AA32" s="388"/>
    </row>
    <row r="33" spans="1:27" ht="15">
      <c r="A33" s="652">
        <v>1</v>
      </c>
      <c r="B33" s="694" t="s">
        <v>707</v>
      </c>
      <c r="C33" s="695"/>
      <c r="D33" s="695"/>
      <c r="E33" s="695"/>
      <c r="F33" s="695"/>
      <c r="G33" s="695"/>
      <c r="H33" s="652"/>
      <c r="I33" s="652"/>
      <c r="J33" s="654"/>
      <c r="K33" s="654"/>
      <c r="L33" s="695"/>
      <c r="M33" s="380"/>
      <c r="N33" s="380"/>
      <c r="O33" s="380"/>
      <c r="P33" s="380"/>
      <c r="Q33" s="380"/>
      <c r="R33" s="380"/>
      <c r="S33" s="380"/>
      <c r="T33" s="380"/>
      <c r="U33" s="380"/>
      <c r="V33" s="380"/>
      <c r="W33" s="380"/>
      <c r="X33" s="380"/>
      <c r="Y33" s="380"/>
      <c r="Z33" s="380"/>
      <c r="AA33" s="380"/>
    </row>
    <row r="34" spans="1:27" ht="15">
      <c r="A34" s="652"/>
      <c r="B34" s="522" t="s">
        <v>708</v>
      </c>
      <c r="C34" s="696" t="s">
        <v>709</v>
      </c>
      <c r="D34" s="697">
        <v>0.156</v>
      </c>
      <c r="E34" s="661">
        <v>0.12</v>
      </c>
      <c r="F34" s="652" t="s">
        <v>701</v>
      </c>
      <c r="G34" s="695">
        <v>0.106</v>
      </c>
      <c r="H34" s="698" t="s">
        <v>710</v>
      </c>
      <c r="I34" s="652" t="s">
        <v>701</v>
      </c>
      <c r="J34" s="654" t="s">
        <v>710</v>
      </c>
      <c r="K34" s="654" t="s">
        <v>675</v>
      </c>
      <c r="L34" s="654" t="s">
        <v>710</v>
      </c>
      <c r="M34" s="380"/>
      <c r="N34" s="380"/>
      <c r="O34" s="380"/>
      <c r="P34" s="380"/>
      <c r="Q34" s="380"/>
      <c r="R34" s="380"/>
      <c r="S34" s="380"/>
      <c r="T34" s="380"/>
      <c r="U34" s="380"/>
      <c r="V34" s="380"/>
      <c r="W34" s="380"/>
      <c r="X34" s="380"/>
      <c r="Y34" s="380"/>
      <c r="Z34" s="380"/>
      <c r="AA34" s="380"/>
    </row>
    <row r="35" spans="1:27" ht="15">
      <c r="A35" s="652"/>
      <c r="B35" s="522" t="s">
        <v>711</v>
      </c>
      <c r="C35" s="699" t="s">
        <v>1116</v>
      </c>
      <c r="D35" s="700">
        <v>282115</v>
      </c>
      <c r="E35" s="695"/>
      <c r="F35" s="695"/>
      <c r="G35" s="701">
        <v>192173</v>
      </c>
      <c r="H35" s="701">
        <v>57150</v>
      </c>
      <c r="I35" s="652"/>
      <c r="J35" s="654">
        <v>57150</v>
      </c>
      <c r="K35" s="654" t="s">
        <v>712</v>
      </c>
      <c r="L35" s="695">
        <v>74581</v>
      </c>
      <c r="M35" s="380"/>
      <c r="N35" s="380"/>
      <c r="O35" s="380"/>
      <c r="P35" s="380"/>
      <c r="Q35" s="380"/>
      <c r="R35" s="380"/>
      <c r="S35" s="380"/>
      <c r="T35" s="380"/>
      <c r="U35" s="380"/>
      <c r="V35" s="380"/>
      <c r="W35" s="380"/>
      <c r="X35" s="380"/>
      <c r="Y35" s="380"/>
      <c r="Z35" s="380"/>
      <c r="AA35" s="380"/>
    </row>
    <row r="36" spans="1:27" ht="15">
      <c r="A36" s="652">
        <v>2</v>
      </c>
      <c r="B36" s="694" t="s">
        <v>713</v>
      </c>
      <c r="C36" s="695"/>
      <c r="D36" s="695"/>
      <c r="E36" s="695"/>
      <c r="F36" s="695"/>
      <c r="G36" s="695"/>
      <c r="H36" s="652"/>
      <c r="I36" s="652"/>
      <c r="J36" s="654"/>
      <c r="K36" s="654"/>
      <c r="L36" s="695"/>
      <c r="M36" s="380"/>
      <c r="N36" s="380"/>
      <c r="O36" s="380"/>
      <c r="P36" s="380"/>
      <c r="Q36" s="380"/>
      <c r="R36" s="380"/>
      <c r="S36" s="380"/>
      <c r="T36" s="380"/>
      <c r="U36" s="380"/>
      <c r="V36" s="380"/>
      <c r="W36" s="380"/>
      <c r="X36" s="380"/>
      <c r="Y36" s="380"/>
      <c r="Z36" s="380"/>
      <c r="AA36" s="380"/>
    </row>
    <row r="37" spans="1:27" ht="15">
      <c r="A37" s="652"/>
      <c r="B37" s="702" t="s">
        <v>714</v>
      </c>
      <c r="C37" s="696" t="s">
        <v>709</v>
      </c>
      <c r="D37" s="700"/>
      <c r="E37" s="695"/>
      <c r="F37" s="695"/>
      <c r="G37" s="703">
        <v>0.2</v>
      </c>
      <c r="H37" s="703">
        <v>0.2</v>
      </c>
      <c r="I37" s="652"/>
      <c r="J37" s="654" t="s">
        <v>715</v>
      </c>
      <c r="K37" s="654" t="s">
        <v>675</v>
      </c>
      <c r="L37" s="695" t="s">
        <v>715</v>
      </c>
      <c r="M37" s="380"/>
      <c r="N37" s="380"/>
      <c r="O37" s="380"/>
      <c r="P37" s="380"/>
      <c r="Q37" s="380"/>
      <c r="R37" s="380"/>
      <c r="S37" s="380"/>
      <c r="T37" s="380"/>
      <c r="U37" s="380"/>
      <c r="V37" s="380"/>
      <c r="W37" s="380"/>
      <c r="X37" s="380"/>
      <c r="Y37" s="380"/>
      <c r="Z37" s="380"/>
      <c r="AA37" s="380"/>
    </row>
    <row r="38" spans="1:27" ht="15">
      <c r="A38" s="652"/>
      <c r="B38" s="702" t="s">
        <v>716</v>
      </c>
      <c r="C38" s="696" t="s">
        <v>709</v>
      </c>
      <c r="D38" s="700"/>
      <c r="E38" s="695"/>
      <c r="F38" s="695"/>
      <c r="G38" s="704" t="s">
        <v>585</v>
      </c>
      <c r="H38" s="701">
        <v>1</v>
      </c>
      <c r="I38" s="652"/>
      <c r="J38" s="654" t="s">
        <v>585</v>
      </c>
      <c r="K38" s="654" t="s">
        <v>675</v>
      </c>
      <c r="L38" s="695" t="s">
        <v>585</v>
      </c>
      <c r="M38" s="380"/>
      <c r="N38" s="380"/>
      <c r="O38" s="380"/>
      <c r="P38" s="380"/>
      <c r="Q38" s="380"/>
      <c r="R38" s="380"/>
      <c r="S38" s="380"/>
      <c r="T38" s="380"/>
      <c r="U38" s="380"/>
      <c r="V38" s="380"/>
      <c r="W38" s="380"/>
      <c r="X38" s="380"/>
      <c r="Y38" s="380"/>
      <c r="Z38" s="380"/>
      <c r="AA38" s="380"/>
    </row>
    <row r="39" spans="1:27" ht="15">
      <c r="A39" s="652">
        <v>3</v>
      </c>
      <c r="B39" s="694" t="s">
        <v>717</v>
      </c>
      <c r="C39" s="652"/>
      <c r="D39" s="700"/>
      <c r="E39" s="695"/>
      <c r="F39" s="679">
        <v>222000</v>
      </c>
      <c r="G39" s="704"/>
      <c r="H39" s="701"/>
      <c r="I39" s="679">
        <v>222000</v>
      </c>
      <c r="J39" s="654"/>
      <c r="K39" s="654"/>
      <c r="L39" s="695"/>
      <c r="M39" s="380"/>
      <c r="N39" s="380"/>
      <c r="O39" s="380"/>
      <c r="P39" s="380"/>
      <c r="Q39" s="380"/>
      <c r="R39" s="380"/>
      <c r="S39" s="380"/>
      <c r="T39" s="380"/>
      <c r="U39" s="380"/>
      <c r="V39" s="380"/>
      <c r="W39" s="380"/>
      <c r="X39" s="380"/>
      <c r="Y39" s="380"/>
      <c r="Z39" s="380"/>
      <c r="AA39" s="380"/>
    </row>
    <row r="40" spans="1:12" ht="15">
      <c r="A40" s="652"/>
      <c r="B40" s="522" t="s">
        <v>718</v>
      </c>
      <c r="C40" s="699" t="s">
        <v>1116</v>
      </c>
      <c r="D40" s="700">
        <v>3440</v>
      </c>
      <c r="E40" s="701">
        <v>3361</v>
      </c>
      <c r="F40" s="705" t="e">
        <f>(E40/#REF!)*100</f>
        <v>#REF!</v>
      </c>
      <c r="G40" s="704">
        <v>3105</v>
      </c>
      <c r="H40" s="701">
        <v>3920</v>
      </c>
      <c r="I40" s="701" t="e">
        <f>(#REF!/#REF!)*100</f>
        <v>#REF!</v>
      </c>
      <c r="J40" s="701">
        <v>3920</v>
      </c>
      <c r="K40" s="654" t="s">
        <v>675</v>
      </c>
      <c r="L40" s="701">
        <v>3361</v>
      </c>
    </row>
    <row r="41" spans="1:12" ht="15">
      <c r="A41" s="652"/>
      <c r="B41" s="706" t="s">
        <v>719</v>
      </c>
      <c r="C41" s="250" t="s">
        <v>1116</v>
      </c>
      <c r="D41" s="695"/>
      <c r="E41" s="704">
        <v>1466</v>
      </c>
      <c r="F41" s="705" t="e">
        <f>(E41/#REF!)*100</f>
        <v>#REF!</v>
      </c>
      <c r="G41" s="704">
        <v>1920</v>
      </c>
      <c r="H41" s="701">
        <v>1777</v>
      </c>
      <c r="I41" s="701" t="e">
        <f>(#REF!/#REF!)*100</f>
        <v>#REF!</v>
      </c>
      <c r="J41" s="701">
        <v>1777</v>
      </c>
      <c r="K41" s="654" t="s">
        <v>675</v>
      </c>
      <c r="L41" s="701">
        <v>1823</v>
      </c>
    </row>
    <row r="42" spans="1:12" ht="15">
      <c r="A42" s="652">
        <v>4</v>
      </c>
      <c r="B42" s="706" t="s">
        <v>720</v>
      </c>
      <c r="C42" s="250"/>
      <c r="D42" s="695"/>
      <c r="E42" s="704"/>
      <c r="F42" s="705"/>
      <c r="G42" s="704"/>
      <c r="H42" s="701"/>
      <c r="I42" s="701"/>
      <c r="J42" s="701"/>
      <c r="K42" s="654"/>
      <c r="L42" s="701"/>
    </row>
    <row r="43" spans="1:12" ht="15">
      <c r="A43" s="652"/>
      <c r="B43" s="706" t="s">
        <v>721</v>
      </c>
      <c r="C43" s="250"/>
      <c r="D43" s="695"/>
      <c r="E43" s="704"/>
      <c r="F43" s="705"/>
      <c r="G43" s="703">
        <v>145.5</v>
      </c>
      <c r="H43" s="652">
        <v>186.06</v>
      </c>
      <c r="I43" s="703"/>
      <c r="J43" s="652">
        <v>186.06</v>
      </c>
      <c r="K43" s="654" t="s">
        <v>675</v>
      </c>
      <c r="L43" s="652">
        <v>186.06</v>
      </c>
    </row>
    <row r="44" spans="1:12" ht="15">
      <c r="A44" s="652"/>
      <c r="B44" s="706" t="s">
        <v>722</v>
      </c>
      <c r="C44" s="250"/>
      <c r="D44" s="695"/>
      <c r="E44" s="704"/>
      <c r="F44" s="705"/>
      <c r="G44" s="652">
        <v>0.07</v>
      </c>
      <c r="H44" s="652">
        <v>0.11</v>
      </c>
      <c r="I44" s="701"/>
      <c r="J44" s="701" t="s">
        <v>723</v>
      </c>
      <c r="K44" s="654" t="s">
        <v>675</v>
      </c>
      <c r="L44" s="701" t="s">
        <v>723</v>
      </c>
    </row>
    <row r="45" spans="1:12" ht="15">
      <c r="A45" s="652">
        <v>5</v>
      </c>
      <c r="B45" s="702" t="s">
        <v>724</v>
      </c>
      <c r="C45" s="707"/>
      <c r="D45" s="695"/>
      <c r="E45" s="661"/>
      <c r="F45" s="652"/>
      <c r="G45" s="707"/>
      <c r="H45" s="652"/>
      <c r="I45" s="652"/>
      <c r="J45" s="708"/>
      <c r="K45" s="708"/>
      <c r="L45" s="661"/>
    </row>
    <row r="46" spans="1:12" ht="30">
      <c r="A46" s="652"/>
      <c r="B46" s="702" t="s">
        <v>725</v>
      </c>
      <c r="C46" s="707" t="s">
        <v>1040</v>
      </c>
      <c r="D46" s="695"/>
      <c r="E46" s="661"/>
      <c r="F46" s="652"/>
      <c r="G46" s="707">
        <v>80</v>
      </c>
      <c r="H46" s="652">
        <v>90</v>
      </c>
      <c r="I46" s="652"/>
      <c r="J46" s="652">
        <v>90</v>
      </c>
      <c r="K46" s="654" t="s">
        <v>675</v>
      </c>
      <c r="L46" s="661">
        <v>90</v>
      </c>
    </row>
    <row r="47" spans="1:12" ht="15">
      <c r="A47" s="652">
        <v>6</v>
      </c>
      <c r="B47" s="702" t="s">
        <v>726</v>
      </c>
      <c r="C47" s="707"/>
      <c r="D47" s="695"/>
      <c r="E47" s="695"/>
      <c r="F47" s="695"/>
      <c r="G47" s="695"/>
      <c r="H47" s="652"/>
      <c r="I47" s="652"/>
      <c r="J47" s="652"/>
      <c r="K47" s="654"/>
      <c r="L47" s="661"/>
    </row>
    <row r="48" spans="1:12" ht="30">
      <c r="A48" s="652"/>
      <c r="B48" s="702" t="s">
        <v>727</v>
      </c>
      <c r="C48" s="707" t="s">
        <v>728</v>
      </c>
      <c r="D48" s="695"/>
      <c r="E48" s="695"/>
      <c r="F48" s="695"/>
      <c r="G48" s="707">
        <v>561</v>
      </c>
      <c r="H48" s="709">
        <v>285</v>
      </c>
      <c r="I48" s="652"/>
      <c r="J48" s="704">
        <v>285</v>
      </c>
      <c r="K48" s="654" t="s">
        <v>675</v>
      </c>
      <c r="L48" s="695">
        <v>285</v>
      </c>
    </row>
    <row r="49" spans="1:12" ht="30">
      <c r="A49" s="652"/>
      <c r="B49" s="702" t="s">
        <v>729</v>
      </c>
      <c r="C49" s="707" t="s">
        <v>1041</v>
      </c>
      <c r="D49" s="695"/>
      <c r="E49" s="695">
        <v>18</v>
      </c>
      <c r="F49" s="695"/>
      <c r="G49" s="707">
        <v>32</v>
      </c>
      <c r="H49" s="701">
        <v>34</v>
      </c>
      <c r="I49" s="652"/>
      <c r="J49" s="704">
        <v>34</v>
      </c>
      <c r="K49" s="654" t="s">
        <v>675</v>
      </c>
      <c r="L49" s="695">
        <v>37</v>
      </c>
    </row>
    <row r="50" spans="1:12" ht="15">
      <c r="A50" s="652">
        <v>7</v>
      </c>
      <c r="B50" s="694" t="s">
        <v>730</v>
      </c>
      <c r="C50" s="652"/>
      <c r="D50" s="695"/>
      <c r="E50" s="695"/>
      <c r="F50" s="695"/>
      <c r="G50" s="695"/>
      <c r="H50" s="710"/>
      <c r="I50" s="652" t="e">
        <f>(#REF!/#REF!)*100</f>
        <v>#REF!</v>
      </c>
      <c r="J50" s="704"/>
      <c r="K50" s="708"/>
      <c r="L50" s="661">
        <v>27.2</v>
      </c>
    </row>
    <row r="51" spans="1:12" ht="30">
      <c r="A51" s="652"/>
      <c r="B51" s="702" t="s">
        <v>731</v>
      </c>
      <c r="C51" s="707" t="s">
        <v>728</v>
      </c>
      <c r="D51" s="695"/>
      <c r="E51" s="695"/>
      <c r="F51" s="695"/>
      <c r="G51" s="711">
        <v>120</v>
      </c>
      <c r="H51" s="652">
        <v>120</v>
      </c>
      <c r="I51" s="652"/>
      <c r="J51" s="704">
        <v>120</v>
      </c>
      <c r="K51" s="654" t="s">
        <v>675</v>
      </c>
      <c r="L51" s="695">
        <v>120</v>
      </c>
    </row>
    <row r="52" spans="1:12" ht="15">
      <c r="A52" s="652">
        <v>8</v>
      </c>
      <c r="B52" s="694" t="s">
        <v>732</v>
      </c>
      <c r="C52" s="712"/>
      <c r="D52" s="695"/>
      <c r="E52" s="695"/>
      <c r="F52" s="695"/>
      <c r="G52" s="695"/>
      <c r="H52" s="652"/>
      <c r="I52" s="652"/>
      <c r="J52" s="704"/>
      <c r="K52" s="708"/>
      <c r="L52" s="695"/>
    </row>
    <row r="53" spans="1:12" ht="15">
      <c r="A53" s="652"/>
      <c r="B53" s="706" t="s">
        <v>733</v>
      </c>
      <c r="C53" s="713"/>
      <c r="D53" s="695"/>
      <c r="E53" s="714"/>
      <c r="F53" s="661"/>
      <c r="G53" s="711"/>
      <c r="H53" s="701"/>
      <c r="I53" s="652" t="s">
        <v>701</v>
      </c>
      <c r="J53" s="704"/>
      <c r="K53" s="708"/>
      <c r="L53" s="661">
        <v>99.5</v>
      </c>
    </row>
    <row r="54" spans="1:12" ht="15">
      <c r="A54" s="652"/>
      <c r="B54" s="706" t="s">
        <v>734</v>
      </c>
      <c r="C54" s="713" t="s">
        <v>735</v>
      </c>
      <c r="D54" s="695"/>
      <c r="E54" s="714">
        <v>171</v>
      </c>
      <c r="F54" s="661" t="e">
        <f>(E54/#REF!)*100</f>
        <v>#REF!</v>
      </c>
      <c r="G54" s="711">
        <v>171</v>
      </c>
      <c r="H54" s="701" t="s">
        <v>736</v>
      </c>
      <c r="I54" s="652" t="s">
        <v>675</v>
      </c>
      <c r="J54" s="704">
        <v>171</v>
      </c>
      <c r="K54" s="654" t="s">
        <v>712</v>
      </c>
      <c r="L54" s="715">
        <v>171</v>
      </c>
    </row>
    <row r="55" spans="1:12" ht="15">
      <c r="A55" s="652"/>
      <c r="B55" s="706" t="s">
        <v>737</v>
      </c>
      <c r="C55" s="713" t="s">
        <v>735</v>
      </c>
      <c r="D55" s="695"/>
      <c r="E55" s="714"/>
      <c r="F55" s="661"/>
      <c r="G55" s="711">
        <v>12</v>
      </c>
      <c r="H55" s="701">
        <v>20</v>
      </c>
      <c r="I55" s="652"/>
      <c r="J55" s="704">
        <v>28</v>
      </c>
      <c r="K55" s="654" t="s">
        <v>712</v>
      </c>
      <c r="L55" s="695">
        <v>57</v>
      </c>
    </row>
    <row r="56" spans="1:12" ht="15">
      <c r="A56" s="652"/>
      <c r="B56" s="694" t="s">
        <v>738</v>
      </c>
      <c r="C56" s="712" t="s">
        <v>739</v>
      </c>
      <c r="D56" s="695"/>
      <c r="E56" s="714">
        <v>160</v>
      </c>
      <c r="F56" s="661" t="e">
        <f>(E56/#REF!)*100</f>
        <v>#REF!</v>
      </c>
      <c r="G56" s="711">
        <v>141</v>
      </c>
      <c r="H56" s="701">
        <v>160</v>
      </c>
      <c r="I56" s="652"/>
      <c r="J56" s="704">
        <v>160</v>
      </c>
      <c r="K56" s="654" t="s">
        <v>675</v>
      </c>
      <c r="L56" s="695">
        <v>220</v>
      </c>
    </row>
    <row r="57" spans="1:12" ht="15">
      <c r="A57" s="652"/>
      <c r="B57" s="694" t="s">
        <v>740</v>
      </c>
      <c r="C57" s="712" t="s">
        <v>739</v>
      </c>
      <c r="D57" s="695"/>
      <c r="E57" s="695"/>
      <c r="F57" s="695"/>
      <c r="G57" s="711">
        <v>2143</v>
      </c>
      <c r="H57" s="704">
        <v>2000</v>
      </c>
      <c r="I57" s="704"/>
      <c r="J57" s="704">
        <v>2000</v>
      </c>
      <c r="K57" s="654" t="s">
        <v>675</v>
      </c>
      <c r="L57" s="704">
        <v>2000</v>
      </c>
    </row>
    <row r="58" spans="1:12" ht="15">
      <c r="A58" s="652"/>
      <c r="B58" s="694" t="s">
        <v>741</v>
      </c>
      <c r="C58" s="712" t="s">
        <v>739</v>
      </c>
      <c r="D58" s="695"/>
      <c r="E58" s="714"/>
      <c r="F58" s="661" t="e">
        <f>(E58/#REF!)*100</f>
        <v>#REF!</v>
      </c>
      <c r="G58" s="711">
        <v>2275</v>
      </c>
      <c r="H58" s="704">
        <v>2100</v>
      </c>
      <c r="I58" s="704"/>
      <c r="J58" s="704">
        <v>2100</v>
      </c>
      <c r="K58" s="654" t="s">
        <v>675</v>
      </c>
      <c r="L58" s="695">
        <v>2200</v>
      </c>
    </row>
    <row r="59" spans="1:12" ht="15">
      <c r="A59" s="652">
        <v>9</v>
      </c>
      <c r="B59" s="694" t="s">
        <v>742</v>
      </c>
      <c r="C59" s="712"/>
      <c r="D59" s="695"/>
      <c r="E59" s="695"/>
      <c r="F59" s="695"/>
      <c r="G59" s="695"/>
      <c r="H59" s="652"/>
      <c r="I59" s="652"/>
      <c r="J59" s="704"/>
      <c r="K59" s="708"/>
      <c r="L59" s="695"/>
    </row>
    <row r="60" spans="1:12" ht="15">
      <c r="A60" s="652"/>
      <c r="B60" s="694" t="s">
        <v>743</v>
      </c>
      <c r="C60" s="712" t="s">
        <v>1040</v>
      </c>
      <c r="D60" s="695"/>
      <c r="E60" s="695"/>
      <c r="F60" s="695"/>
      <c r="G60" s="711">
        <v>50</v>
      </c>
      <c r="H60" s="652">
        <v>70</v>
      </c>
      <c r="I60" s="652"/>
      <c r="J60" s="704">
        <v>70</v>
      </c>
      <c r="K60" s="654" t="s">
        <v>675</v>
      </c>
      <c r="L60" s="695">
        <v>70</v>
      </c>
    </row>
    <row r="61" spans="1:12" ht="15">
      <c r="A61" s="652">
        <v>10</v>
      </c>
      <c r="B61" s="694" t="s">
        <v>744</v>
      </c>
      <c r="C61" s="712"/>
      <c r="D61" s="695"/>
      <c r="E61" s="695"/>
      <c r="F61" s="695"/>
      <c r="G61" s="711"/>
      <c r="H61" s="652"/>
      <c r="I61" s="652"/>
      <c r="J61" s="704"/>
      <c r="K61" s="654"/>
      <c r="L61" s="695"/>
    </row>
    <row r="62" spans="1:12" ht="15">
      <c r="A62" s="652"/>
      <c r="B62" s="691" t="s">
        <v>745</v>
      </c>
      <c r="C62" s="716" t="s">
        <v>1040</v>
      </c>
      <c r="D62" s="695"/>
      <c r="E62" s="695"/>
      <c r="F62" s="695"/>
      <c r="G62" s="711">
        <v>97.13</v>
      </c>
      <c r="H62" s="652" t="s">
        <v>746</v>
      </c>
      <c r="I62" s="652"/>
      <c r="J62" s="704" t="s">
        <v>746</v>
      </c>
      <c r="K62" s="654" t="s">
        <v>675</v>
      </c>
      <c r="L62" s="661" t="s">
        <v>746</v>
      </c>
    </row>
    <row r="63" spans="1:12" ht="15">
      <c r="A63" s="652"/>
      <c r="B63" s="691" t="s">
        <v>747</v>
      </c>
      <c r="C63" s="716" t="s">
        <v>1040</v>
      </c>
      <c r="D63" s="695"/>
      <c r="E63" s="695"/>
      <c r="F63" s="695"/>
      <c r="G63" s="652">
        <v>87.42</v>
      </c>
      <c r="H63" s="652" t="s">
        <v>748</v>
      </c>
      <c r="I63" s="652"/>
      <c r="J63" s="704" t="s">
        <v>748</v>
      </c>
      <c r="K63" s="654" t="s">
        <v>675</v>
      </c>
      <c r="L63" s="717" t="s">
        <v>748</v>
      </c>
    </row>
    <row r="64" spans="1:12" ht="15">
      <c r="A64" s="652">
        <v>11</v>
      </c>
      <c r="B64" s="691" t="s">
        <v>749</v>
      </c>
      <c r="C64" s="716"/>
      <c r="D64" s="652"/>
      <c r="E64" s="695"/>
      <c r="F64" s="695"/>
      <c r="G64" s="711"/>
      <c r="H64" s="652"/>
      <c r="I64" s="652"/>
      <c r="J64" s="704"/>
      <c r="K64" s="652"/>
      <c r="L64" s="695"/>
    </row>
    <row r="65" spans="1:12" ht="15">
      <c r="A65" s="652"/>
      <c r="B65" s="691" t="s">
        <v>750</v>
      </c>
      <c r="C65" s="716" t="s">
        <v>1040</v>
      </c>
      <c r="D65" s="695"/>
      <c r="E65" s="695"/>
      <c r="F65" s="695"/>
      <c r="G65" s="711">
        <v>94.6</v>
      </c>
      <c r="H65" s="652">
        <v>82.4</v>
      </c>
      <c r="I65" s="652"/>
      <c r="J65" s="652">
        <v>82.4</v>
      </c>
      <c r="K65" s="652" t="s">
        <v>675</v>
      </c>
      <c r="L65" s="695">
        <v>83</v>
      </c>
    </row>
    <row r="66" spans="1:12" ht="15">
      <c r="A66" s="652"/>
      <c r="B66" s="691" t="s">
        <v>751</v>
      </c>
      <c r="C66" s="716" t="s">
        <v>1040</v>
      </c>
      <c r="D66" s="695"/>
      <c r="E66" s="695"/>
      <c r="F66" s="695"/>
      <c r="G66" s="711"/>
      <c r="H66" s="652">
        <v>99.8</v>
      </c>
      <c r="I66" s="652"/>
      <c r="J66" s="652">
        <v>99.8</v>
      </c>
      <c r="K66" s="652" t="s">
        <v>675</v>
      </c>
      <c r="L66" s="695">
        <v>99.8</v>
      </c>
    </row>
    <row r="67" spans="1:12" ht="15">
      <c r="A67" s="652"/>
      <c r="B67" s="691" t="s">
        <v>752</v>
      </c>
      <c r="C67" s="716" t="s">
        <v>1040</v>
      </c>
      <c r="D67" s="695"/>
      <c r="E67" s="695"/>
      <c r="F67" s="695"/>
      <c r="G67" s="711"/>
      <c r="H67" s="652">
        <v>86.5</v>
      </c>
      <c r="I67" s="652"/>
      <c r="J67" s="652">
        <v>86.5</v>
      </c>
      <c r="K67" s="652" t="s">
        <v>675</v>
      </c>
      <c r="L67" s="695">
        <v>87</v>
      </c>
    </row>
    <row r="68" spans="1:12" ht="15">
      <c r="A68" s="652"/>
      <c r="B68" s="691" t="s">
        <v>753</v>
      </c>
      <c r="C68" s="716" t="s">
        <v>1067</v>
      </c>
      <c r="D68" s="695"/>
      <c r="E68" s="695"/>
      <c r="F68" s="695"/>
      <c r="G68" s="711"/>
      <c r="H68" s="652" t="s">
        <v>754</v>
      </c>
      <c r="I68" s="652"/>
      <c r="J68" s="652" t="s">
        <v>754</v>
      </c>
      <c r="K68" s="652" t="s">
        <v>675</v>
      </c>
      <c r="L68" s="661" t="s">
        <v>92</v>
      </c>
    </row>
    <row r="69" spans="1:12" ht="15">
      <c r="A69" s="652">
        <v>12</v>
      </c>
      <c r="B69" s="691" t="s">
        <v>755</v>
      </c>
      <c r="C69" s="716"/>
      <c r="D69" s="652"/>
      <c r="E69" s="695"/>
      <c r="F69" s="695"/>
      <c r="G69" s="711"/>
      <c r="H69" s="652"/>
      <c r="I69" s="652"/>
      <c r="J69" s="704"/>
      <c r="K69" s="652"/>
      <c r="L69" s="695"/>
    </row>
    <row r="70" spans="1:12" ht="15">
      <c r="A70" s="652"/>
      <c r="B70" s="691" t="s">
        <v>756</v>
      </c>
      <c r="C70" s="716" t="s">
        <v>1040</v>
      </c>
      <c r="D70" s="695"/>
      <c r="E70" s="695"/>
      <c r="F70" s="695"/>
      <c r="G70" s="652">
        <v>10.4</v>
      </c>
      <c r="H70" s="652">
        <v>10.5</v>
      </c>
      <c r="I70" s="652"/>
      <c r="J70" s="652">
        <v>10.5</v>
      </c>
      <c r="K70" s="652" t="s">
        <v>675</v>
      </c>
      <c r="L70" s="695">
        <v>10</v>
      </c>
    </row>
    <row r="71" spans="1:12" ht="15">
      <c r="A71" s="652"/>
      <c r="B71" s="691" t="s">
        <v>757</v>
      </c>
      <c r="C71" s="716" t="s">
        <v>1040</v>
      </c>
      <c r="D71" s="695"/>
      <c r="E71" s="695"/>
      <c r="F71" s="695"/>
      <c r="G71" s="652">
        <v>26.7</v>
      </c>
      <c r="H71" s="652">
        <v>26.2</v>
      </c>
      <c r="I71" s="652"/>
      <c r="J71" s="652">
        <v>26.2</v>
      </c>
      <c r="K71" s="652" t="s">
        <v>675</v>
      </c>
      <c r="L71" s="695">
        <v>26</v>
      </c>
    </row>
    <row r="72" spans="1:12" ht="30">
      <c r="A72" s="652">
        <v>13</v>
      </c>
      <c r="B72" s="691" t="s">
        <v>758</v>
      </c>
      <c r="C72" s="716"/>
      <c r="D72" s="695"/>
      <c r="E72" s="695"/>
      <c r="F72" s="695"/>
      <c r="G72" s="711"/>
      <c r="H72" s="652"/>
      <c r="I72" s="652"/>
      <c r="J72" s="652"/>
      <c r="K72" s="652"/>
      <c r="L72" s="695"/>
    </row>
    <row r="73" spans="1:12" ht="15">
      <c r="A73" s="652"/>
      <c r="B73" s="691" t="s">
        <v>759</v>
      </c>
      <c r="C73" s="716" t="s">
        <v>760</v>
      </c>
      <c r="D73" s="695"/>
      <c r="E73" s="695"/>
      <c r="F73" s="695"/>
      <c r="G73" s="711">
        <v>5</v>
      </c>
      <c r="H73" s="652">
        <v>1</v>
      </c>
      <c r="I73" s="652"/>
      <c r="J73" s="652">
        <v>1</v>
      </c>
      <c r="K73" s="652" t="s">
        <v>675</v>
      </c>
      <c r="L73" s="695">
        <v>1</v>
      </c>
    </row>
    <row r="74" spans="1:12" ht="15">
      <c r="A74" s="652"/>
      <c r="B74" s="691" t="s">
        <v>761</v>
      </c>
      <c r="C74" s="716" t="s">
        <v>1040</v>
      </c>
      <c r="D74" s="695"/>
      <c r="E74" s="695"/>
      <c r="F74" s="695"/>
      <c r="G74" s="711">
        <v>90</v>
      </c>
      <c r="H74" s="652">
        <v>90</v>
      </c>
      <c r="I74" s="652"/>
      <c r="J74" s="652">
        <v>90</v>
      </c>
      <c r="K74" s="652" t="s">
        <v>675</v>
      </c>
      <c r="L74" s="695">
        <v>90</v>
      </c>
    </row>
    <row r="75" spans="1:12" ht="15">
      <c r="A75" s="652">
        <v>14</v>
      </c>
      <c r="B75" s="691" t="s">
        <v>762</v>
      </c>
      <c r="C75" s="716"/>
      <c r="D75" s="695"/>
      <c r="E75" s="695"/>
      <c r="F75" s="695"/>
      <c r="G75" s="711"/>
      <c r="H75" s="652"/>
      <c r="I75" s="652"/>
      <c r="J75" s="652"/>
      <c r="K75" s="652"/>
      <c r="L75" s="695"/>
    </row>
    <row r="76" spans="1:12" ht="30">
      <c r="A76" s="652"/>
      <c r="B76" s="691" t="s">
        <v>763</v>
      </c>
      <c r="C76" s="716" t="s">
        <v>1040</v>
      </c>
      <c r="D76" s="695"/>
      <c r="E76" s="695"/>
      <c r="F76" s="695"/>
      <c r="G76" s="711">
        <v>100</v>
      </c>
      <c r="H76" s="652">
        <v>80</v>
      </c>
      <c r="I76" s="652"/>
      <c r="J76" s="652">
        <v>80</v>
      </c>
      <c r="K76" s="652" t="s">
        <v>675</v>
      </c>
      <c r="L76" s="695">
        <v>100</v>
      </c>
    </row>
    <row r="77" spans="1:12" ht="30">
      <c r="A77" s="652"/>
      <c r="B77" s="691" t="s">
        <v>764</v>
      </c>
      <c r="C77" s="716" t="s">
        <v>1040</v>
      </c>
      <c r="D77" s="695"/>
      <c r="E77" s="695"/>
      <c r="F77" s="695"/>
      <c r="G77" s="695">
        <v>100</v>
      </c>
      <c r="H77" s="652">
        <v>50</v>
      </c>
      <c r="I77" s="652"/>
      <c r="J77" s="652">
        <v>50</v>
      </c>
      <c r="K77" s="652" t="s">
        <v>675</v>
      </c>
      <c r="L77" s="695">
        <v>100</v>
      </c>
    </row>
    <row r="78" spans="1:12" ht="30">
      <c r="A78" s="652"/>
      <c r="B78" s="691" t="s">
        <v>765</v>
      </c>
      <c r="C78" s="716" t="s">
        <v>1040</v>
      </c>
      <c r="D78" s="695"/>
      <c r="E78" s="695"/>
      <c r="F78" s="695"/>
      <c r="G78" s="711">
        <v>50</v>
      </c>
      <c r="H78" s="652">
        <v>50</v>
      </c>
      <c r="I78" s="652"/>
      <c r="J78" s="652">
        <v>50</v>
      </c>
      <c r="K78" s="652" t="s">
        <v>675</v>
      </c>
      <c r="L78" s="695">
        <v>50</v>
      </c>
    </row>
    <row r="79" spans="1:12" ht="30">
      <c r="A79" s="652"/>
      <c r="B79" s="691" t="s">
        <v>766</v>
      </c>
      <c r="C79" s="716" t="s">
        <v>1040</v>
      </c>
      <c r="D79" s="695"/>
      <c r="E79" s="695"/>
      <c r="F79" s="695"/>
      <c r="G79" s="711"/>
      <c r="H79" s="652">
        <v>85</v>
      </c>
      <c r="I79" s="652"/>
      <c r="J79" s="652">
        <v>85</v>
      </c>
      <c r="K79" s="652" t="s">
        <v>675</v>
      </c>
      <c r="L79" s="695">
        <v>85</v>
      </c>
    </row>
    <row r="80" spans="1:12" ht="30">
      <c r="A80" s="652"/>
      <c r="B80" s="691" t="s">
        <v>767</v>
      </c>
      <c r="C80" s="652" t="s">
        <v>768</v>
      </c>
      <c r="D80" s="695"/>
      <c r="E80" s="695"/>
      <c r="F80" s="695"/>
      <c r="G80" s="711">
        <v>692</v>
      </c>
      <c r="H80" s="652">
        <v>25</v>
      </c>
      <c r="I80" s="652"/>
      <c r="J80" s="652">
        <v>25</v>
      </c>
      <c r="K80" s="652" t="s">
        <v>675</v>
      </c>
      <c r="L80" s="695">
        <v>647</v>
      </c>
    </row>
    <row r="81" spans="1:12" s="389" customFormat="1" ht="28.5">
      <c r="A81" s="681" t="s">
        <v>1177</v>
      </c>
      <c r="B81" s="718" t="s">
        <v>769</v>
      </c>
      <c r="C81" s="719"/>
      <c r="D81" s="719"/>
      <c r="E81" s="719"/>
      <c r="F81" s="719"/>
      <c r="G81" s="719"/>
      <c r="H81" s="720"/>
      <c r="I81" s="720"/>
      <c r="J81" s="720"/>
      <c r="K81" s="720"/>
      <c r="L81" s="719"/>
    </row>
    <row r="82" spans="1:12" ht="30">
      <c r="A82" s="708"/>
      <c r="B82" s="706" t="s">
        <v>770</v>
      </c>
      <c r="C82" s="250" t="s">
        <v>1040</v>
      </c>
      <c r="D82" s="721">
        <v>80</v>
      </c>
      <c r="E82" s="722">
        <v>75.1</v>
      </c>
      <c r="F82" s="654" t="s">
        <v>771</v>
      </c>
      <c r="G82" s="722">
        <v>86.2</v>
      </c>
      <c r="H82" s="722">
        <v>82</v>
      </c>
      <c r="I82" s="722" t="s">
        <v>771</v>
      </c>
      <c r="J82" s="722">
        <v>90</v>
      </c>
      <c r="K82" s="654" t="s">
        <v>712</v>
      </c>
      <c r="L82" s="722">
        <v>85</v>
      </c>
    </row>
    <row r="83" spans="1:12" ht="30">
      <c r="A83" s="708"/>
      <c r="B83" s="706" t="s">
        <v>782</v>
      </c>
      <c r="C83" s="713" t="s">
        <v>1040</v>
      </c>
      <c r="D83" s="678"/>
      <c r="E83" s="722">
        <v>8.52</v>
      </c>
      <c r="F83" s="654" t="s">
        <v>675</v>
      </c>
      <c r="G83" s="722">
        <v>5.5</v>
      </c>
      <c r="H83" s="722" t="s">
        <v>783</v>
      </c>
      <c r="I83" s="722"/>
      <c r="J83" s="722" t="s">
        <v>783</v>
      </c>
      <c r="K83" s="652" t="s">
        <v>675</v>
      </c>
      <c r="L83" s="722" t="s">
        <v>783</v>
      </c>
    </row>
    <row r="84" spans="1:12" ht="45">
      <c r="A84" s="708"/>
      <c r="B84" s="706" t="s">
        <v>784</v>
      </c>
      <c r="C84" s="713" t="s">
        <v>1040</v>
      </c>
      <c r="D84" s="678"/>
      <c r="E84" s="722">
        <v>84</v>
      </c>
      <c r="F84" s="654" t="s">
        <v>771</v>
      </c>
      <c r="G84" s="722">
        <v>79.2</v>
      </c>
      <c r="H84" s="722">
        <v>90</v>
      </c>
      <c r="I84" s="722" t="s">
        <v>771</v>
      </c>
      <c r="J84" s="722">
        <v>90</v>
      </c>
      <c r="K84" s="652" t="s">
        <v>675</v>
      </c>
      <c r="L84" s="722">
        <v>95</v>
      </c>
    </row>
    <row r="85" spans="1:12" ht="45">
      <c r="A85" s="708"/>
      <c r="B85" s="706" t="s">
        <v>785</v>
      </c>
      <c r="C85" s="713" t="s">
        <v>1040</v>
      </c>
      <c r="D85" s="678"/>
      <c r="E85" s="722">
        <v>95</v>
      </c>
      <c r="F85" s="673" t="e">
        <f>(E85/#REF!)*100</f>
        <v>#REF!</v>
      </c>
      <c r="G85" s="722">
        <v>50.6</v>
      </c>
      <c r="H85" s="722">
        <v>90</v>
      </c>
      <c r="I85" s="722" t="e">
        <f>(#REF!/#REF!)*100</f>
        <v>#REF!</v>
      </c>
      <c r="J85" s="722">
        <v>90</v>
      </c>
      <c r="K85" s="652" t="s">
        <v>675</v>
      </c>
      <c r="L85" s="722">
        <v>90</v>
      </c>
    </row>
    <row r="86" spans="1:12" ht="30">
      <c r="A86" s="708"/>
      <c r="B86" s="706" t="s">
        <v>786</v>
      </c>
      <c r="C86" s="713" t="s">
        <v>1040</v>
      </c>
      <c r="D86" s="678"/>
      <c r="E86" s="722">
        <v>86</v>
      </c>
      <c r="F86" s="723" t="e">
        <f>(E86/#REF!)*100</f>
        <v>#REF!</v>
      </c>
      <c r="G86" s="722">
        <v>92.5</v>
      </c>
      <c r="H86" s="722">
        <v>90</v>
      </c>
      <c r="I86" s="722" t="e">
        <f>(#REF!/#REF!)*100</f>
        <v>#REF!</v>
      </c>
      <c r="J86" s="722">
        <v>95</v>
      </c>
      <c r="K86" s="654" t="s">
        <v>712</v>
      </c>
      <c r="L86" s="722">
        <v>90</v>
      </c>
    </row>
    <row r="87" spans="1:12" ht="30">
      <c r="A87" s="708"/>
      <c r="B87" s="702" t="s">
        <v>787</v>
      </c>
      <c r="C87" s="713" t="s">
        <v>1040</v>
      </c>
      <c r="D87" s="678"/>
      <c r="E87" s="722">
        <v>80</v>
      </c>
      <c r="F87" s="724" t="e">
        <f>(E87/#REF!)*100</f>
        <v>#REF!</v>
      </c>
      <c r="G87" s="722">
        <v>73.1</v>
      </c>
      <c r="H87" s="722">
        <v>65</v>
      </c>
      <c r="I87" s="722" t="e">
        <f>(#REF!/#REF!)*100</f>
        <v>#REF!</v>
      </c>
      <c r="J87" s="722">
        <v>80</v>
      </c>
      <c r="K87" s="654" t="s">
        <v>712</v>
      </c>
      <c r="L87" s="722">
        <v>70</v>
      </c>
    </row>
    <row r="88" spans="1:12" ht="30">
      <c r="A88" s="708"/>
      <c r="B88" s="702" t="s">
        <v>788</v>
      </c>
      <c r="C88" s="713" t="s">
        <v>1040</v>
      </c>
      <c r="D88" s="678"/>
      <c r="E88" s="722">
        <v>75</v>
      </c>
      <c r="F88" s="724" t="e">
        <f>(E88/#REF!)*100</f>
        <v>#REF!</v>
      </c>
      <c r="G88" s="722">
        <v>82.5</v>
      </c>
      <c r="H88" s="722">
        <v>75</v>
      </c>
      <c r="I88" s="722" t="e">
        <f>(#REF!/#REF!)*100</f>
        <v>#REF!</v>
      </c>
      <c r="J88" s="722">
        <v>75</v>
      </c>
      <c r="K88" s="652" t="s">
        <v>675</v>
      </c>
      <c r="L88" s="722">
        <v>75</v>
      </c>
    </row>
    <row r="89" spans="1:12" ht="30">
      <c r="A89" s="708"/>
      <c r="B89" s="706" t="s">
        <v>789</v>
      </c>
      <c r="C89" s="713" t="s">
        <v>1040</v>
      </c>
      <c r="D89" s="678"/>
      <c r="E89" s="722">
        <v>70</v>
      </c>
      <c r="F89" s="723" t="e">
        <f>(E89/#REF!)*100</f>
        <v>#REF!</v>
      </c>
      <c r="G89" s="722">
        <v>80.1</v>
      </c>
      <c r="H89" s="722">
        <v>70</v>
      </c>
      <c r="I89" s="722" t="e">
        <f>(#REF!/#REF!)*100</f>
        <v>#REF!</v>
      </c>
      <c r="J89" s="722">
        <v>70</v>
      </c>
      <c r="K89" s="652" t="s">
        <v>675</v>
      </c>
      <c r="L89" s="722">
        <v>75</v>
      </c>
    </row>
    <row r="90" spans="1:12" ht="30">
      <c r="A90" s="708"/>
      <c r="B90" s="706" t="s">
        <v>790</v>
      </c>
      <c r="C90" s="713" t="s">
        <v>791</v>
      </c>
      <c r="D90" s="678"/>
      <c r="E90" s="722">
        <v>1</v>
      </c>
      <c r="F90" s="723" t="e">
        <f>(E90/#REF!)*100</f>
        <v>#REF!</v>
      </c>
      <c r="G90" s="722">
        <v>1</v>
      </c>
      <c r="H90" s="722">
        <v>1</v>
      </c>
      <c r="I90" s="722" t="e">
        <f>(#REF!/#REF!)*100</f>
        <v>#REF!</v>
      </c>
      <c r="J90" s="722">
        <v>1</v>
      </c>
      <c r="K90" s="652" t="s">
        <v>675</v>
      </c>
      <c r="L90" s="722">
        <v>1</v>
      </c>
    </row>
    <row r="91" spans="1:12" ht="45">
      <c r="A91" s="708"/>
      <c r="B91" s="706" t="s">
        <v>792</v>
      </c>
      <c r="C91" s="713" t="s">
        <v>1040</v>
      </c>
      <c r="D91" s="678"/>
      <c r="E91" s="722">
        <v>100</v>
      </c>
      <c r="F91" s="673" t="e">
        <f>(E91/#REF!)*100</f>
        <v>#REF!</v>
      </c>
      <c r="G91" s="722">
        <v>70</v>
      </c>
      <c r="H91" s="722">
        <v>95</v>
      </c>
      <c r="I91" s="722" t="e">
        <f>(#REF!/#REF!)*100</f>
        <v>#REF!</v>
      </c>
      <c r="J91" s="722">
        <v>95</v>
      </c>
      <c r="K91" s="652" t="s">
        <v>675</v>
      </c>
      <c r="L91" s="722">
        <v>85</v>
      </c>
    </row>
    <row r="92" spans="1:12" ht="45">
      <c r="A92" s="708"/>
      <c r="B92" s="706" t="s">
        <v>793</v>
      </c>
      <c r="C92" s="713" t="s">
        <v>1040</v>
      </c>
      <c r="D92" s="678"/>
      <c r="E92" s="722">
        <v>70</v>
      </c>
      <c r="F92" s="673" t="e">
        <f>(E92/#REF!)*100</f>
        <v>#REF!</v>
      </c>
      <c r="G92" s="722">
        <v>70</v>
      </c>
      <c r="H92" s="722">
        <v>70</v>
      </c>
      <c r="I92" s="722" t="e">
        <f>(#REF!/#REF!)*100</f>
        <v>#REF!</v>
      </c>
      <c r="J92" s="722">
        <v>70</v>
      </c>
      <c r="K92" s="652" t="s">
        <v>675</v>
      </c>
      <c r="L92" s="722">
        <v>70</v>
      </c>
    </row>
    <row r="93" spans="1:12" ht="45">
      <c r="A93" s="708"/>
      <c r="B93" s="706" t="s">
        <v>794</v>
      </c>
      <c r="C93" s="713" t="s">
        <v>1040</v>
      </c>
      <c r="D93" s="678"/>
      <c r="E93" s="722">
        <v>100</v>
      </c>
      <c r="F93" s="673" t="e">
        <f>(E93/#REF!)*100</f>
        <v>#REF!</v>
      </c>
      <c r="G93" s="722">
        <v>100</v>
      </c>
      <c r="H93" s="722">
        <v>100</v>
      </c>
      <c r="I93" s="722" t="e">
        <f>(#REF!/#REF!)*100</f>
        <v>#REF!</v>
      </c>
      <c r="J93" s="722">
        <v>100</v>
      </c>
      <c r="K93" s="652" t="s">
        <v>675</v>
      </c>
      <c r="L93" s="722">
        <v>100</v>
      </c>
    </row>
    <row r="94" spans="1:12" s="389" customFormat="1" ht="16.5">
      <c r="A94" s="725" t="s">
        <v>1178</v>
      </c>
      <c r="B94" s="667" t="s">
        <v>795</v>
      </c>
      <c r="C94" s="719"/>
      <c r="D94" s="719"/>
      <c r="E94" s="719"/>
      <c r="F94" s="719"/>
      <c r="G94" s="719"/>
      <c r="H94" s="720"/>
      <c r="I94" s="720"/>
      <c r="J94" s="720"/>
      <c r="K94" s="720"/>
      <c r="L94" s="719"/>
    </row>
    <row r="95" spans="1:12" ht="15">
      <c r="A95" s="708"/>
      <c r="B95" s="726" t="s">
        <v>796</v>
      </c>
      <c r="C95" s="250" t="s">
        <v>797</v>
      </c>
      <c r="D95" s="727">
        <v>7965</v>
      </c>
      <c r="E95" s="678"/>
      <c r="F95" s="678"/>
      <c r="G95" s="678"/>
      <c r="H95" s="728">
        <v>7965</v>
      </c>
      <c r="I95" s="708"/>
      <c r="J95" s="708"/>
      <c r="K95" s="708"/>
      <c r="L95" s="678"/>
    </row>
    <row r="96" spans="1:12" ht="15">
      <c r="A96" s="708"/>
      <c r="B96" s="726" t="s">
        <v>798</v>
      </c>
      <c r="C96" s="707" t="s">
        <v>739</v>
      </c>
      <c r="D96" s="729">
        <v>350</v>
      </c>
      <c r="E96" s="695">
        <v>350</v>
      </c>
      <c r="F96" s="695"/>
      <c r="G96" s="730">
        <v>1600</v>
      </c>
      <c r="H96" s="730">
        <v>2600</v>
      </c>
      <c r="I96" s="730"/>
      <c r="J96" s="730">
        <v>2600</v>
      </c>
      <c r="K96" s="652" t="s">
        <v>675</v>
      </c>
      <c r="L96" s="695">
        <v>2000</v>
      </c>
    </row>
    <row r="97" spans="1:12" ht="15">
      <c r="A97" s="708"/>
      <c r="B97" s="702" t="s">
        <v>799</v>
      </c>
      <c r="C97" s="707" t="s">
        <v>739</v>
      </c>
      <c r="D97" s="695"/>
      <c r="E97" s="695">
        <v>70</v>
      </c>
      <c r="F97" s="695"/>
      <c r="G97" s="714">
        <v>75</v>
      </c>
      <c r="H97" s="652">
        <v>75</v>
      </c>
      <c r="I97" s="652"/>
      <c r="J97" s="652">
        <v>75</v>
      </c>
      <c r="K97" s="652" t="s">
        <v>675</v>
      </c>
      <c r="L97" s="695">
        <v>75</v>
      </c>
    </row>
    <row r="98" spans="1:12" ht="30">
      <c r="A98" s="708"/>
      <c r="B98" s="706" t="s">
        <v>800</v>
      </c>
      <c r="C98" s="713" t="s">
        <v>1040</v>
      </c>
      <c r="D98" s="695"/>
      <c r="E98" s="731">
        <v>100</v>
      </c>
      <c r="F98" s="661" t="e">
        <f>(E98/#REF!)*100</f>
        <v>#REF!</v>
      </c>
      <c r="G98" s="661">
        <v>100</v>
      </c>
      <c r="H98" s="652">
        <v>100</v>
      </c>
      <c r="I98" s="652" t="e">
        <f>(#REF!/#REF!)*100</f>
        <v>#REF!</v>
      </c>
      <c r="J98" s="652">
        <v>100</v>
      </c>
      <c r="K98" s="652" t="s">
        <v>675</v>
      </c>
      <c r="L98" s="731">
        <v>100</v>
      </c>
    </row>
    <row r="99" spans="1:12" ht="45">
      <c r="A99" s="708"/>
      <c r="B99" s="732" t="s">
        <v>801</v>
      </c>
      <c r="C99" s="713" t="s">
        <v>1040</v>
      </c>
      <c r="D99" s="695"/>
      <c r="E99" s="731">
        <v>90</v>
      </c>
      <c r="F99" s="661" t="e">
        <f>(E99/#REF!)*100</f>
        <v>#REF!</v>
      </c>
      <c r="G99" s="733">
        <v>100</v>
      </c>
      <c r="H99" s="652">
        <v>50</v>
      </c>
      <c r="I99" s="652" t="e">
        <f>(#REF!/#REF!)*100</f>
        <v>#REF!</v>
      </c>
      <c r="J99" s="652">
        <v>50</v>
      </c>
      <c r="K99" s="652" t="s">
        <v>675</v>
      </c>
      <c r="L99" s="731">
        <v>50</v>
      </c>
    </row>
    <row r="100" spans="1:12" ht="30">
      <c r="A100" s="708"/>
      <c r="B100" s="734" t="s">
        <v>802</v>
      </c>
      <c r="C100" s="713" t="s">
        <v>1040</v>
      </c>
      <c r="D100" s="695"/>
      <c r="E100" s="731"/>
      <c r="F100" s="661"/>
      <c r="G100" s="661"/>
      <c r="H100" s="652">
        <v>50</v>
      </c>
      <c r="I100" s="652" t="e">
        <f>(#REF!/#REF!)*100</f>
        <v>#REF!</v>
      </c>
      <c r="J100" s="652">
        <v>50</v>
      </c>
      <c r="K100" s="652" t="s">
        <v>675</v>
      </c>
      <c r="L100" s="731">
        <v>100</v>
      </c>
    </row>
    <row r="101" spans="1:12" ht="30">
      <c r="A101" s="708"/>
      <c r="B101" s="734" t="s">
        <v>803</v>
      </c>
      <c r="C101" s="713" t="s">
        <v>1040</v>
      </c>
      <c r="D101" s="695"/>
      <c r="E101" s="731"/>
      <c r="F101" s="712" t="s">
        <v>771</v>
      </c>
      <c r="G101" s="661"/>
      <c r="H101" s="652">
        <v>50</v>
      </c>
      <c r="I101" s="712" t="s">
        <v>771</v>
      </c>
      <c r="J101" s="652">
        <v>50</v>
      </c>
      <c r="K101" s="652" t="s">
        <v>675</v>
      </c>
      <c r="L101" s="731">
        <v>50</v>
      </c>
    </row>
    <row r="102" spans="1:12" ht="15">
      <c r="A102" s="708"/>
      <c r="B102" s="706" t="s">
        <v>804</v>
      </c>
      <c r="C102" s="713" t="s">
        <v>797</v>
      </c>
      <c r="D102" s="695"/>
      <c r="E102" s="735">
        <v>1400</v>
      </c>
      <c r="F102" s="705" t="e">
        <f>(E102/#REF!)*100</f>
        <v>#REF!</v>
      </c>
      <c r="G102" s="735">
        <v>1215</v>
      </c>
      <c r="H102" s="652">
        <v>2500</v>
      </c>
      <c r="I102" s="736" t="e">
        <f>(#REF!/#REF!)*100</f>
        <v>#REF!</v>
      </c>
      <c r="J102" s="652">
        <v>2500</v>
      </c>
      <c r="K102" s="652" t="s">
        <v>675</v>
      </c>
      <c r="L102" s="731">
        <v>2500</v>
      </c>
    </row>
    <row r="103" spans="1:12" ht="15">
      <c r="A103" s="708"/>
      <c r="B103" s="706" t="s">
        <v>805</v>
      </c>
      <c r="C103" s="713" t="s">
        <v>1040</v>
      </c>
      <c r="D103" s="695"/>
      <c r="E103" s="731">
        <v>80</v>
      </c>
      <c r="F103" s="661" t="e">
        <f>(E103/#REF!)*100</f>
        <v>#REF!</v>
      </c>
      <c r="G103" s="733">
        <v>70</v>
      </c>
      <c r="H103" s="652">
        <v>65</v>
      </c>
      <c r="I103" s="652" t="e">
        <f>(#REF!/#REF!)*100</f>
        <v>#REF!</v>
      </c>
      <c r="J103" s="652">
        <v>65</v>
      </c>
      <c r="K103" s="652" t="s">
        <v>675</v>
      </c>
      <c r="L103" s="731">
        <v>65</v>
      </c>
    </row>
    <row r="104" spans="1:12" ht="30">
      <c r="A104" s="708"/>
      <c r="B104" s="706" t="s">
        <v>806</v>
      </c>
      <c r="C104" s="713" t="s">
        <v>1040</v>
      </c>
      <c r="D104" s="695"/>
      <c r="E104" s="731">
        <v>70</v>
      </c>
      <c r="F104" s="661" t="e">
        <f>(E104/#REF!)*100</f>
        <v>#REF!</v>
      </c>
      <c r="G104" s="661">
        <v>90</v>
      </c>
      <c r="H104" s="652"/>
      <c r="I104" s="652" t="e">
        <f>(#REF!/#REF!)*100</f>
        <v>#REF!</v>
      </c>
      <c r="J104" s="652"/>
      <c r="K104" s="652"/>
      <c r="L104" s="731">
        <v>70</v>
      </c>
    </row>
    <row r="105" spans="1:12" ht="15">
      <c r="A105" s="708"/>
      <c r="B105" s="734" t="s">
        <v>807</v>
      </c>
      <c r="C105" s="713" t="s">
        <v>1040</v>
      </c>
      <c r="D105" s="695"/>
      <c r="E105" s="731">
        <v>70</v>
      </c>
      <c r="F105" s="661" t="e">
        <f>(E105/#REF!)*100</f>
        <v>#REF!</v>
      </c>
      <c r="G105" s="661"/>
      <c r="H105" s="652"/>
      <c r="I105" s="652" t="e">
        <f>(#REF!/#REF!)*100</f>
        <v>#REF!</v>
      </c>
      <c r="J105" s="652"/>
      <c r="K105" s="652"/>
      <c r="L105" s="731">
        <v>70</v>
      </c>
    </row>
    <row r="106" spans="1:12" ht="15">
      <c r="A106" s="708"/>
      <c r="B106" s="734" t="s">
        <v>808</v>
      </c>
      <c r="C106" s="713" t="s">
        <v>1040</v>
      </c>
      <c r="D106" s="695"/>
      <c r="E106" s="731">
        <v>60</v>
      </c>
      <c r="F106" s="661" t="e">
        <f>(E106/#REF!)*100</f>
        <v>#REF!</v>
      </c>
      <c r="G106" s="661">
        <v>70</v>
      </c>
      <c r="H106" s="652"/>
      <c r="I106" s="652" t="e">
        <f>(#REF!/#REF!)*100</f>
        <v>#REF!</v>
      </c>
      <c r="J106" s="652"/>
      <c r="K106" s="652"/>
      <c r="L106" s="731">
        <v>60</v>
      </c>
    </row>
    <row r="107" spans="1:12" ht="30">
      <c r="A107" s="708"/>
      <c r="B107" s="706" t="s">
        <v>809</v>
      </c>
      <c r="C107" s="713" t="s">
        <v>1040</v>
      </c>
      <c r="D107" s="695"/>
      <c r="E107" s="731">
        <v>100</v>
      </c>
      <c r="F107" s="661" t="e">
        <f>(E107/#REF!)*100</f>
        <v>#REF!</v>
      </c>
      <c r="G107" s="661"/>
      <c r="H107" s="652"/>
      <c r="I107" s="652" t="e">
        <f>(#REF!/#REF!)*100</f>
        <v>#REF!</v>
      </c>
      <c r="J107" s="652"/>
      <c r="K107" s="652"/>
      <c r="L107" s="731">
        <v>100</v>
      </c>
    </row>
    <row r="108" spans="1:12" ht="30">
      <c r="A108" s="708"/>
      <c r="B108" s="706" t="s">
        <v>810</v>
      </c>
      <c r="C108" s="713" t="s">
        <v>1040</v>
      </c>
      <c r="D108" s="695"/>
      <c r="E108" s="731">
        <v>80</v>
      </c>
      <c r="F108" s="661" t="e">
        <f>(E108/#REF!)*100</f>
        <v>#REF!</v>
      </c>
      <c r="G108" s="661"/>
      <c r="H108" s="652"/>
      <c r="I108" s="652" t="e">
        <f>(#REF!/#REF!)*100</f>
        <v>#REF!</v>
      </c>
      <c r="J108" s="652"/>
      <c r="K108" s="652"/>
      <c r="L108" s="731">
        <v>80</v>
      </c>
    </row>
    <row r="109" spans="1:12" ht="45">
      <c r="A109" s="708"/>
      <c r="B109" s="702" t="s">
        <v>811</v>
      </c>
      <c r="C109" s="707" t="s">
        <v>1040</v>
      </c>
      <c r="D109" s="695"/>
      <c r="E109" s="695"/>
      <c r="F109" s="695"/>
      <c r="G109" s="733">
        <v>80</v>
      </c>
      <c r="H109" s="652"/>
      <c r="I109" s="652"/>
      <c r="J109" s="652"/>
      <c r="K109" s="652"/>
      <c r="L109" s="695"/>
    </row>
    <row r="110" spans="1:12" ht="30">
      <c r="A110" s="708"/>
      <c r="B110" s="702" t="s">
        <v>812</v>
      </c>
      <c r="C110" s="707" t="s">
        <v>1040</v>
      </c>
      <c r="D110" s="695"/>
      <c r="E110" s="695"/>
      <c r="F110" s="695"/>
      <c r="G110" s="733">
        <v>80</v>
      </c>
      <c r="H110" s="652"/>
      <c r="I110" s="652"/>
      <c r="J110" s="652"/>
      <c r="K110" s="652"/>
      <c r="L110" s="695"/>
    </row>
    <row r="111" spans="1:12" ht="30">
      <c r="A111" s="708"/>
      <c r="B111" s="702" t="s">
        <v>813</v>
      </c>
      <c r="C111" s="707" t="s">
        <v>1040</v>
      </c>
      <c r="D111" s="695"/>
      <c r="E111" s="695"/>
      <c r="F111" s="695"/>
      <c r="G111" s="714">
        <v>80</v>
      </c>
      <c r="H111" s="652"/>
      <c r="I111" s="652"/>
      <c r="J111" s="652"/>
      <c r="K111" s="652"/>
      <c r="L111" s="695"/>
    </row>
    <row r="112" spans="1:12" ht="15">
      <c r="A112" s="708"/>
      <c r="B112" s="702" t="s">
        <v>814</v>
      </c>
      <c r="C112" s="707" t="s">
        <v>1040</v>
      </c>
      <c r="D112" s="695"/>
      <c r="E112" s="695"/>
      <c r="F112" s="695"/>
      <c r="G112" s="714">
        <v>70</v>
      </c>
      <c r="H112" s="652"/>
      <c r="I112" s="652"/>
      <c r="J112" s="652"/>
      <c r="K112" s="652"/>
      <c r="L112" s="695"/>
    </row>
    <row r="113" spans="1:12" ht="15">
      <c r="A113" s="708"/>
      <c r="B113" s="702" t="s">
        <v>815</v>
      </c>
      <c r="C113" s="707" t="s">
        <v>1116</v>
      </c>
      <c r="D113" s="695"/>
      <c r="E113" s="695"/>
      <c r="F113" s="695"/>
      <c r="G113" s="714">
        <v>480</v>
      </c>
      <c r="H113" s="652"/>
      <c r="I113" s="652"/>
      <c r="J113" s="652"/>
      <c r="K113" s="652"/>
      <c r="L113" s="695"/>
    </row>
    <row r="114" spans="1:12" s="389" customFormat="1" ht="16.5">
      <c r="A114" s="725" t="s">
        <v>1179</v>
      </c>
      <c r="B114" s="667" t="s">
        <v>816</v>
      </c>
      <c r="C114" s="719"/>
      <c r="D114" s="668"/>
      <c r="E114" s="668"/>
      <c r="F114" s="668"/>
      <c r="G114" s="668"/>
      <c r="H114" s="693"/>
      <c r="I114" s="693"/>
      <c r="J114" s="693"/>
      <c r="K114" s="693"/>
      <c r="L114" s="668"/>
    </row>
    <row r="115" spans="1:12" ht="15">
      <c r="A115" s="708"/>
      <c r="B115" s="658" t="s">
        <v>817</v>
      </c>
      <c r="C115" s="652"/>
      <c r="D115" s="672" t="s">
        <v>818</v>
      </c>
      <c r="E115" s="672" t="s">
        <v>819</v>
      </c>
      <c r="F115" s="695"/>
      <c r="G115" s="672" t="s">
        <v>820</v>
      </c>
      <c r="H115" s="672">
        <v>90</v>
      </c>
      <c r="I115" s="652"/>
      <c r="J115" s="672">
        <v>90</v>
      </c>
      <c r="K115" s="652" t="s">
        <v>675</v>
      </c>
      <c r="L115" s="672">
        <v>90</v>
      </c>
    </row>
    <row r="116" spans="1:12" ht="15">
      <c r="A116" s="708"/>
      <c r="B116" s="658" t="s">
        <v>821</v>
      </c>
      <c r="C116" s="652"/>
      <c r="D116" s="672" t="s">
        <v>822</v>
      </c>
      <c r="E116" s="672" t="s">
        <v>823</v>
      </c>
      <c r="F116" s="695"/>
      <c r="G116" s="672" t="s">
        <v>824</v>
      </c>
      <c r="H116" s="672" t="s">
        <v>825</v>
      </c>
      <c r="I116" s="652"/>
      <c r="J116" s="672" t="s">
        <v>825</v>
      </c>
      <c r="K116" s="652" t="s">
        <v>675</v>
      </c>
      <c r="L116" s="672">
        <v>98</v>
      </c>
    </row>
    <row r="117" spans="1:12" ht="15">
      <c r="A117" s="708"/>
      <c r="B117" s="658" t="s">
        <v>826</v>
      </c>
      <c r="C117" s="652"/>
      <c r="D117" s="672">
        <v>95</v>
      </c>
      <c r="E117" s="672" t="s">
        <v>827</v>
      </c>
      <c r="F117" s="695"/>
      <c r="G117" s="672" t="s">
        <v>828</v>
      </c>
      <c r="H117" s="672">
        <v>99</v>
      </c>
      <c r="I117" s="652"/>
      <c r="J117" s="672">
        <v>99</v>
      </c>
      <c r="K117" s="652" t="s">
        <v>675</v>
      </c>
      <c r="L117" s="672">
        <v>99</v>
      </c>
    </row>
    <row r="118" spans="1:12" ht="15">
      <c r="A118" s="708"/>
      <c r="B118" s="706" t="s">
        <v>829</v>
      </c>
      <c r="C118" s="713" t="s">
        <v>830</v>
      </c>
      <c r="D118" s="661">
        <v>1</v>
      </c>
      <c r="E118" s="695">
        <v>3</v>
      </c>
      <c r="F118" s="661" t="e">
        <f>(E118/#REF!)*100</f>
        <v>#REF!</v>
      </c>
      <c r="G118" s="695">
        <v>1</v>
      </c>
      <c r="H118" s="695">
        <v>1</v>
      </c>
      <c r="I118" s="652"/>
      <c r="J118" s="695">
        <v>1</v>
      </c>
      <c r="K118" s="652" t="s">
        <v>675</v>
      </c>
      <c r="L118" s="695">
        <v>1</v>
      </c>
    </row>
    <row r="119" spans="1:12" ht="15">
      <c r="A119" s="708"/>
      <c r="B119" s="706" t="s">
        <v>831</v>
      </c>
      <c r="C119" s="713" t="s">
        <v>233</v>
      </c>
      <c r="D119" s="661">
        <v>1</v>
      </c>
      <c r="E119" s="695">
        <v>1</v>
      </c>
      <c r="F119" s="661" t="e">
        <f>(E119/#REF!)*100</f>
        <v>#REF!</v>
      </c>
      <c r="G119" s="695">
        <v>1</v>
      </c>
      <c r="H119" s="695">
        <v>0</v>
      </c>
      <c r="I119" s="652"/>
      <c r="J119" s="695">
        <v>0</v>
      </c>
      <c r="K119" s="695"/>
      <c r="L119" s="695">
        <v>1</v>
      </c>
    </row>
    <row r="120" spans="1:12" ht="15">
      <c r="A120" s="708"/>
      <c r="B120" s="706" t="s">
        <v>832</v>
      </c>
      <c r="C120" s="713" t="s">
        <v>833</v>
      </c>
      <c r="D120" s="661">
        <v>2</v>
      </c>
      <c r="E120" s="695">
        <v>2</v>
      </c>
      <c r="F120" s="661" t="e">
        <f>(E120/#REF!)*100</f>
        <v>#REF!</v>
      </c>
      <c r="G120" s="695">
        <v>7</v>
      </c>
      <c r="H120" s="695">
        <v>2</v>
      </c>
      <c r="I120" s="652"/>
      <c r="J120" s="695">
        <v>2</v>
      </c>
      <c r="K120" s="652" t="s">
        <v>675</v>
      </c>
      <c r="L120" s="695"/>
    </row>
    <row r="121" spans="1:12" ht="15">
      <c r="A121" s="708"/>
      <c r="B121" s="706" t="s">
        <v>834</v>
      </c>
      <c r="C121" s="713" t="s">
        <v>833</v>
      </c>
      <c r="D121" s="661">
        <v>8</v>
      </c>
      <c r="E121" s="695">
        <v>10</v>
      </c>
      <c r="F121" s="661" t="e">
        <f>(E121/#REF!)*100</f>
        <v>#REF!</v>
      </c>
      <c r="G121" s="695">
        <v>10</v>
      </c>
      <c r="H121" s="695">
        <v>1</v>
      </c>
      <c r="I121" s="652"/>
      <c r="J121" s="695">
        <v>1</v>
      </c>
      <c r="K121" s="652" t="s">
        <v>675</v>
      </c>
      <c r="L121" s="695">
        <v>2</v>
      </c>
    </row>
    <row r="122" spans="1:12" ht="15">
      <c r="A122" s="708"/>
      <c r="B122" s="706" t="s">
        <v>835</v>
      </c>
      <c r="C122" s="713" t="s">
        <v>836</v>
      </c>
      <c r="D122" s="661">
        <v>15</v>
      </c>
      <c r="E122" s="695">
        <v>20</v>
      </c>
      <c r="F122" s="661" t="e">
        <f>(E122/#REF!)*100</f>
        <v>#REF!</v>
      </c>
      <c r="G122" s="695">
        <v>10</v>
      </c>
      <c r="H122" s="695">
        <v>1</v>
      </c>
      <c r="I122" s="652"/>
      <c r="J122" s="695">
        <v>1</v>
      </c>
      <c r="K122" s="652" t="s">
        <v>675</v>
      </c>
      <c r="L122" s="695">
        <v>3</v>
      </c>
    </row>
    <row r="123" spans="1:12" ht="15">
      <c r="A123" s="708"/>
      <c r="B123" s="706" t="s">
        <v>837</v>
      </c>
      <c r="C123" s="713" t="s">
        <v>836</v>
      </c>
      <c r="D123" s="661">
        <v>2</v>
      </c>
      <c r="E123" s="695">
        <v>1</v>
      </c>
      <c r="F123" s="661" t="e">
        <f>(E123/#REF!)*100</f>
        <v>#REF!</v>
      </c>
      <c r="G123" s="695">
        <v>1</v>
      </c>
      <c r="H123" s="695"/>
      <c r="I123" s="652"/>
      <c r="J123" s="695"/>
      <c r="K123" s="695"/>
      <c r="L123" s="695">
        <v>1</v>
      </c>
    </row>
    <row r="124" spans="1:12" ht="15">
      <c r="A124" s="708"/>
      <c r="B124" s="706" t="s">
        <v>838</v>
      </c>
      <c r="C124" s="713" t="s">
        <v>836</v>
      </c>
      <c r="D124" s="661"/>
      <c r="E124" s="695">
        <v>1</v>
      </c>
      <c r="F124" s="661" t="e">
        <f>(E124/#REF!)*100</f>
        <v>#REF!</v>
      </c>
      <c r="G124" s="695">
        <v>2</v>
      </c>
      <c r="H124" s="695"/>
      <c r="I124" s="652"/>
      <c r="J124" s="695"/>
      <c r="K124" s="695"/>
      <c r="L124" s="695">
        <v>3</v>
      </c>
    </row>
    <row r="125" spans="1:12" ht="15">
      <c r="A125" s="708"/>
      <c r="B125" s="702" t="s">
        <v>839</v>
      </c>
      <c r="C125" s="707" t="s">
        <v>830</v>
      </c>
      <c r="D125" s="661">
        <v>2</v>
      </c>
      <c r="E125" s="695">
        <v>1</v>
      </c>
      <c r="F125" s="695"/>
      <c r="G125" s="695">
        <v>2</v>
      </c>
      <c r="H125" s="695">
        <v>1</v>
      </c>
      <c r="I125" s="652"/>
      <c r="J125" s="695">
        <v>1</v>
      </c>
      <c r="K125" s="652" t="s">
        <v>675</v>
      </c>
      <c r="L125" s="695">
        <v>3</v>
      </c>
    </row>
    <row r="126" spans="1:12" ht="15">
      <c r="A126" s="708"/>
      <c r="B126" s="702" t="s">
        <v>868</v>
      </c>
      <c r="C126" s="707" t="s">
        <v>869</v>
      </c>
      <c r="D126" s="661">
        <v>2</v>
      </c>
      <c r="E126" s="695">
        <v>2</v>
      </c>
      <c r="F126" s="695"/>
      <c r="G126" s="695">
        <v>2</v>
      </c>
      <c r="H126" s="695">
        <v>2</v>
      </c>
      <c r="I126" s="652"/>
      <c r="J126" s="695">
        <v>2</v>
      </c>
      <c r="K126" s="652" t="s">
        <v>675</v>
      </c>
      <c r="L126" s="695">
        <v>1</v>
      </c>
    </row>
    <row r="127" spans="1:12" s="389" customFormat="1" ht="14.25">
      <c r="A127" s="737" t="s">
        <v>870</v>
      </c>
      <c r="B127" s="738" t="s">
        <v>871</v>
      </c>
      <c r="C127" s="739"/>
      <c r="D127" s="740"/>
      <c r="E127" s="719"/>
      <c r="F127" s="719"/>
      <c r="G127" s="719"/>
      <c r="H127" s="741"/>
      <c r="I127" s="720"/>
      <c r="J127" s="720"/>
      <c r="K127" s="720"/>
      <c r="L127" s="719"/>
    </row>
    <row r="128" spans="1:12" ht="60">
      <c r="A128" s="708"/>
      <c r="B128" s="676" t="s">
        <v>872</v>
      </c>
      <c r="C128" s="713" t="s">
        <v>873</v>
      </c>
      <c r="D128" s="695"/>
      <c r="E128" s="731">
        <v>80</v>
      </c>
      <c r="F128" s="661" t="e">
        <f>(E128/#REF!)*100</f>
        <v>#REF!</v>
      </c>
      <c r="G128" s="742">
        <v>150</v>
      </c>
      <c r="H128" s="652">
        <v>77</v>
      </c>
      <c r="I128" s="652" t="e">
        <f>(#REF!/#REF!)*100</f>
        <v>#REF!</v>
      </c>
      <c r="J128" s="652">
        <v>500</v>
      </c>
      <c r="K128" s="652" t="s">
        <v>701</v>
      </c>
      <c r="L128" s="731">
        <v>288</v>
      </c>
    </row>
    <row r="129" spans="1:12" ht="15">
      <c r="A129" s="708"/>
      <c r="B129" s="676" t="s">
        <v>874</v>
      </c>
      <c r="C129" s="713" t="s">
        <v>768</v>
      </c>
      <c r="D129" s="695"/>
      <c r="E129" s="731">
        <v>3</v>
      </c>
      <c r="F129" s="661" t="e">
        <f>(E129/#REF!)*100</f>
        <v>#REF!</v>
      </c>
      <c r="G129" s="695"/>
      <c r="H129" s="652"/>
      <c r="I129" s="652" t="e">
        <f>(#REF!/#REF!)*100</f>
        <v>#REF!</v>
      </c>
      <c r="J129" s="652"/>
      <c r="K129" s="652"/>
      <c r="L129" s="731">
        <v>3</v>
      </c>
    </row>
    <row r="130" spans="1:12" ht="15">
      <c r="A130" s="708"/>
      <c r="B130" s="694" t="s">
        <v>875</v>
      </c>
      <c r="C130" s="707"/>
      <c r="D130" s="695"/>
      <c r="E130" s="695"/>
      <c r="F130" s="695"/>
      <c r="G130" s="743"/>
      <c r="H130" s="652"/>
      <c r="I130" s="652"/>
      <c r="J130" s="652"/>
      <c r="K130" s="652"/>
      <c r="L130" s="695"/>
    </row>
    <row r="131" spans="1:12" ht="15">
      <c r="A131" s="708"/>
      <c r="B131" s="694" t="s">
        <v>876</v>
      </c>
      <c r="C131" s="707" t="s">
        <v>877</v>
      </c>
      <c r="D131" s="695"/>
      <c r="E131" s="695"/>
      <c r="F131" s="695"/>
      <c r="G131" s="743">
        <v>183</v>
      </c>
      <c r="H131" s="652">
        <v>18</v>
      </c>
      <c r="I131" s="652"/>
      <c r="J131" s="652">
        <v>18</v>
      </c>
      <c r="K131" s="652" t="s">
        <v>675</v>
      </c>
      <c r="L131" s="695"/>
    </row>
    <row r="132" spans="1:12" ht="15">
      <c r="A132" s="708"/>
      <c r="B132" s="694" t="s">
        <v>878</v>
      </c>
      <c r="C132" s="707" t="s">
        <v>768</v>
      </c>
      <c r="D132" s="695"/>
      <c r="E132" s="695"/>
      <c r="F132" s="695"/>
      <c r="G132" s="743"/>
      <c r="H132" s="652"/>
      <c r="I132" s="652"/>
      <c r="J132" s="652"/>
      <c r="K132" s="652"/>
      <c r="L132" s="695">
        <v>33</v>
      </c>
    </row>
    <row r="133" spans="1:12" ht="15">
      <c r="A133" s="708"/>
      <c r="B133" s="694" t="s">
        <v>879</v>
      </c>
      <c r="C133" s="707" t="s">
        <v>877</v>
      </c>
      <c r="D133" s="695"/>
      <c r="E133" s="695"/>
      <c r="F133" s="695"/>
      <c r="G133" s="743">
        <v>28</v>
      </c>
      <c r="H133" s="652">
        <v>14</v>
      </c>
      <c r="I133" s="652"/>
      <c r="J133" s="652">
        <v>14</v>
      </c>
      <c r="K133" s="652" t="s">
        <v>675</v>
      </c>
      <c r="L133" s="695"/>
    </row>
    <row r="134" spans="1:12" ht="15">
      <c r="A134" s="708"/>
      <c r="B134" s="694" t="s">
        <v>880</v>
      </c>
      <c r="C134" s="707"/>
      <c r="D134" s="695"/>
      <c r="E134" s="695"/>
      <c r="F134" s="695"/>
      <c r="G134" s="743"/>
      <c r="H134" s="652"/>
      <c r="I134" s="652"/>
      <c r="J134" s="652"/>
      <c r="K134" s="652"/>
      <c r="L134" s="695">
        <v>22</v>
      </c>
    </row>
    <row r="135" spans="1:12" ht="15">
      <c r="A135" s="708"/>
      <c r="B135" s="694" t="s">
        <v>881</v>
      </c>
      <c r="C135" s="707" t="s">
        <v>877</v>
      </c>
      <c r="D135" s="695"/>
      <c r="E135" s="695"/>
      <c r="F135" s="695"/>
      <c r="G135" s="743">
        <v>19</v>
      </c>
      <c r="H135" s="652">
        <v>25</v>
      </c>
      <c r="I135" s="652"/>
      <c r="J135" s="652">
        <v>25</v>
      </c>
      <c r="K135" s="652" t="s">
        <v>675</v>
      </c>
      <c r="L135" s="695">
        <v>22</v>
      </c>
    </row>
    <row r="136" spans="1:12" s="389" customFormat="1" ht="16.5">
      <c r="A136" s="744" t="s">
        <v>882</v>
      </c>
      <c r="B136" s="718" t="s">
        <v>883</v>
      </c>
      <c r="C136" s="745"/>
      <c r="D136" s="746"/>
      <c r="E136" s="719"/>
      <c r="F136" s="719"/>
      <c r="G136" s="719"/>
      <c r="H136" s="693"/>
      <c r="I136" s="720"/>
      <c r="J136" s="720"/>
      <c r="K136" s="720"/>
      <c r="L136" s="719"/>
    </row>
    <row r="137" spans="1:12" ht="16.5">
      <c r="A137" s="747"/>
      <c r="B137" s="676" t="s">
        <v>884</v>
      </c>
      <c r="C137" s="250" t="s">
        <v>1040</v>
      </c>
      <c r="D137" s="678"/>
      <c r="E137" s="661">
        <v>100</v>
      </c>
      <c r="F137" s="723" t="e">
        <f>(E137/#REF!)*100</f>
        <v>#REF!</v>
      </c>
      <c r="G137" s="679">
        <v>100</v>
      </c>
      <c r="H137" s="652">
        <v>100</v>
      </c>
      <c r="I137" s="652" t="e">
        <f>(#REF!/#REF!)*100</f>
        <v>#REF!</v>
      </c>
      <c r="J137" s="652">
        <v>100</v>
      </c>
      <c r="K137" s="661" t="s">
        <v>675</v>
      </c>
      <c r="L137" s="661">
        <v>100</v>
      </c>
    </row>
    <row r="138" spans="1:12" ht="15">
      <c r="A138" s="748"/>
      <c r="B138" s="676" t="s">
        <v>885</v>
      </c>
      <c r="C138" s="250" t="s">
        <v>1040</v>
      </c>
      <c r="D138" s="678"/>
      <c r="E138" s="661" t="s">
        <v>886</v>
      </c>
      <c r="F138" s="671" t="s">
        <v>887</v>
      </c>
      <c r="G138" s="679">
        <v>40</v>
      </c>
      <c r="H138" s="679">
        <v>30</v>
      </c>
      <c r="I138" s="679" t="s">
        <v>887</v>
      </c>
      <c r="J138" s="679">
        <v>30</v>
      </c>
      <c r="K138" s="661" t="s">
        <v>675</v>
      </c>
      <c r="L138" s="661">
        <v>40</v>
      </c>
    </row>
    <row r="139" spans="1:12" ht="30">
      <c r="A139" s="748"/>
      <c r="B139" s="676" t="s">
        <v>888</v>
      </c>
      <c r="C139" s="250" t="s">
        <v>1040</v>
      </c>
      <c r="D139" s="678"/>
      <c r="E139" s="661">
        <v>100</v>
      </c>
      <c r="F139" s="723" t="e">
        <f>(E139/#REF!)*100</f>
        <v>#REF!</v>
      </c>
      <c r="G139" s="704">
        <v>100</v>
      </c>
      <c r="H139" s="704">
        <v>100</v>
      </c>
      <c r="I139" s="704" t="e">
        <f>(#REF!/#REF!)*100</f>
        <v>#REF!</v>
      </c>
      <c r="J139" s="704">
        <v>100</v>
      </c>
      <c r="K139" s="679" t="s">
        <v>675</v>
      </c>
      <c r="L139" s="661">
        <v>100</v>
      </c>
    </row>
    <row r="140" spans="1:12" ht="15">
      <c r="A140" s="708"/>
      <c r="B140" s="694" t="s">
        <v>889</v>
      </c>
      <c r="C140" s="652" t="s">
        <v>1040</v>
      </c>
      <c r="D140" s="678"/>
      <c r="E140" s="678"/>
      <c r="F140" s="678"/>
      <c r="G140" s="679">
        <v>10</v>
      </c>
      <c r="H140" s="679" t="s">
        <v>890</v>
      </c>
      <c r="I140" s="708"/>
      <c r="J140" s="704">
        <v>8</v>
      </c>
      <c r="K140" s="679" t="s">
        <v>675</v>
      </c>
      <c r="L140" s="695">
        <v>8</v>
      </c>
    </row>
    <row r="141" spans="1:12" ht="15">
      <c r="A141" s="708"/>
      <c r="B141" s="694" t="s">
        <v>891</v>
      </c>
      <c r="C141" s="652" t="s">
        <v>892</v>
      </c>
      <c r="D141" s="678"/>
      <c r="E141" s="678"/>
      <c r="F141" s="678"/>
      <c r="G141" s="679" t="s">
        <v>893</v>
      </c>
      <c r="H141" s="679">
        <v>3</v>
      </c>
      <c r="I141" s="679"/>
      <c r="J141" s="679">
        <v>3</v>
      </c>
      <c r="K141" s="679" t="s">
        <v>675</v>
      </c>
      <c r="L141" s="749">
        <v>3</v>
      </c>
    </row>
    <row r="142" spans="1:12" ht="30">
      <c r="A142" s="708"/>
      <c r="B142" s="694" t="s">
        <v>894</v>
      </c>
      <c r="C142" s="652" t="s">
        <v>1040</v>
      </c>
      <c r="D142" s="678"/>
      <c r="E142" s="678"/>
      <c r="F142" s="678"/>
      <c r="G142" s="679">
        <v>100</v>
      </c>
      <c r="H142" s="652">
        <v>100</v>
      </c>
      <c r="I142" s="652"/>
      <c r="J142" s="652">
        <v>100</v>
      </c>
      <c r="K142" s="652" t="s">
        <v>675</v>
      </c>
      <c r="L142" s="695">
        <v>100</v>
      </c>
    </row>
    <row r="143" spans="1:12" s="389" customFormat="1" ht="28.5">
      <c r="A143" s="744" t="s">
        <v>882</v>
      </c>
      <c r="B143" s="718" t="s">
        <v>895</v>
      </c>
      <c r="C143" s="750"/>
      <c r="D143" s="751"/>
      <c r="E143" s="719"/>
      <c r="F143" s="719"/>
      <c r="G143" s="719"/>
      <c r="H143" s="752"/>
      <c r="I143" s="720"/>
      <c r="J143" s="720"/>
      <c r="K143" s="720"/>
      <c r="L143" s="719"/>
    </row>
    <row r="144" spans="1:12" ht="16.5">
      <c r="A144" s="747"/>
      <c r="B144" s="676" t="s">
        <v>896</v>
      </c>
      <c r="C144" s="250" t="s">
        <v>1040</v>
      </c>
      <c r="D144" s="664"/>
      <c r="E144" s="678"/>
      <c r="F144" s="678"/>
      <c r="G144" s="695">
        <v>30</v>
      </c>
      <c r="H144" s="688">
        <v>30</v>
      </c>
      <c r="I144" s="652"/>
      <c r="J144" s="652">
        <v>30</v>
      </c>
      <c r="K144" s="679" t="s">
        <v>675</v>
      </c>
      <c r="L144" s="695">
        <v>30</v>
      </c>
    </row>
    <row r="145" spans="1:12" ht="16.5">
      <c r="A145" s="747"/>
      <c r="B145" s="676" t="s">
        <v>897</v>
      </c>
      <c r="C145" s="250" t="s">
        <v>1040</v>
      </c>
      <c r="D145" s="664"/>
      <c r="E145" s="678"/>
      <c r="F145" s="678"/>
      <c r="G145" s="695" t="s">
        <v>748</v>
      </c>
      <c r="H145" s="695" t="s">
        <v>898</v>
      </c>
      <c r="I145" s="695" t="s">
        <v>899</v>
      </c>
      <c r="J145" s="695" t="s">
        <v>898</v>
      </c>
      <c r="K145" s="679" t="s">
        <v>675</v>
      </c>
      <c r="L145" s="661" t="s">
        <v>748</v>
      </c>
    </row>
    <row r="146" spans="1:12" ht="30">
      <c r="A146" s="748"/>
      <c r="B146" s="676" t="s">
        <v>900</v>
      </c>
      <c r="C146" s="652" t="s">
        <v>1040</v>
      </c>
      <c r="D146" s="678"/>
      <c r="E146" s="664">
        <v>67.3</v>
      </c>
      <c r="F146" s="716" t="s">
        <v>771</v>
      </c>
      <c r="G146" s="704" t="s">
        <v>901</v>
      </c>
      <c r="H146" s="652" t="s">
        <v>902</v>
      </c>
      <c r="I146" s="652" t="s">
        <v>771</v>
      </c>
      <c r="J146" s="652" t="s">
        <v>902</v>
      </c>
      <c r="K146" s="652" t="s">
        <v>675</v>
      </c>
      <c r="L146" s="664" t="s">
        <v>903</v>
      </c>
    </row>
  </sheetData>
  <sheetProtection/>
  <mergeCells count="11">
    <mergeCell ref="D5:D6"/>
    <mergeCell ref="E5:E6"/>
    <mergeCell ref="F5:F6"/>
    <mergeCell ref="G5:G6"/>
    <mergeCell ref="H5:K5"/>
    <mergeCell ref="L5:L6"/>
    <mergeCell ref="A1:C1"/>
    <mergeCell ref="A3:L3"/>
    <mergeCell ref="A5:A6"/>
    <mergeCell ref="B5:B6"/>
    <mergeCell ref="C5:C6"/>
  </mergeCells>
  <printOptions horizontalCentered="1"/>
  <pageMargins left="0.4" right="0.34" top="0.66" bottom="0.63" header="0.5" footer="0.29"/>
  <pageSetup horizontalDpi="600" verticalDpi="600" orientation="landscape" paperSize="9"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K50"/>
  <sheetViews>
    <sheetView showZeros="0" zoomScale="70" zoomScaleNormal="70" zoomScalePageLayoutView="0" workbookViewId="0" topLeftCell="A1">
      <selection activeCell="A1" sqref="A1:B1"/>
    </sheetView>
  </sheetViews>
  <sheetFormatPr defaultColWidth="9.00390625" defaultRowHeight="15.75"/>
  <cols>
    <col min="1" max="1" width="4.00390625" style="358" customWidth="1"/>
    <col min="2" max="2" width="48.375" style="154" customWidth="1"/>
    <col min="3" max="3" width="10.00390625" style="154" customWidth="1"/>
    <col min="4" max="4" width="10.50390625" style="154" customWidth="1"/>
    <col min="5" max="5" width="10.25390625" style="350" bestFit="1" customWidth="1"/>
    <col min="6" max="8" width="10.125" style="350" customWidth="1"/>
    <col min="9" max="9" width="10.00390625" style="350" bestFit="1" customWidth="1"/>
    <col min="10" max="11" width="0" style="154" hidden="1" customWidth="1"/>
    <col min="12" max="16384" width="9.00390625" style="154" customWidth="1"/>
  </cols>
  <sheetData>
    <row r="1" spans="1:7" ht="17.25">
      <c r="A1" s="913" t="s">
        <v>664</v>
      </c>
      <c r="B1" s="913"/>
      <c r="C1" s="346"/>
      <c r="D1" s="346"/>
      <c r="E1" s="347"/>
      <c r="F1" s="348" t="s">
        <v>291</v>
      </c>
      <c r="G1" s="349"/>
    </row>
    <row r="2" spans="1:6" ht="16.5">
      <c r="A2" s="345"/>
      <c r="B2" s="345"/>
      <c r="C2" s="346"/>
      <c r="D2" s="346"/>
      <c r="E2" s="347"/>
      <c r="F2" s="347"/>
    </row>
    <row r="3" spans="1:9" ht="16.5">
      <c r="A3" s="914" t="s">
        <v>778</v>
      </c>
      <c r="B3" s="914"/>
      <c r="C3" s="914"/>
      <c r="D3" s="914"/>
      <c r="E3" s="914"/>
      <c r="F3" s="914"/>
      <c r="G3" s="914"/>
      <c r="H3" s="914"/>
      <c r="I3" s="914"/>
    </row>
    <row r="4" spans="1:9" ht="16.5">
      <c r="A4" s="915"/>
      <c r="B4" s="915"/>
      <c r="C4" s="915"/>
      <c r="D4" s="915"/>
      <c r="E4" s="915"/>
      <c r="F4" s="915"/>
      <c r="G4" s="915"/>
      <c r="H4" s="915"/>
      <c r="I4" s="915"/>
    </row>
    <row r="5" spans="1:9" ht="16.5">
      <c r="A5" s="351"/>
      <c r="B5" s="346"/>
      <c r="C5" s="346"/>
      <c r="D5" s="346"/>
      <c r="E5" s="347"/>
      <c r="F5" s="916" t="s">
        <v>1120</v>
      </c>
      <c r="G5" s="916"/>
      <c r="H5" s="916"/>
      <c r="I5" s="916"/>
    </row>
    <row r="6" spans="1:11" s="354" customFormat="1" ht="16.5">
      <c r="A6" s="918" t="s">
        <v>1035</v>
      </c>
      <c r="B6" s="918" t="s">
        <v>233</v>
      </c>
      <c r="C6" s="917" t="s">
        <v>645</v>
      </c>
      <c r="D6" s="917" t="s">
        <v>646</v>
      </c>
      <c r="E6" s="919" t="s">
        <v>647</v>
      </c>
      <c r="F6" s="919" t="s">
        <v>967</v>
      </c>
      <c r="G6" s="923" t="s">
        <v>311</v>
      </c>
      <c r="H6" s="923"/>
      <c r="I6" s="923"/>
      <c r="J6" s="921" t="s">
        <v>648</v>
      </c>
      <c r="K6" s="923" t="s">
        <v>649</v>
      </c>
    </row>
    <row r="7" spans="1:11" s="354" customFormat="1" ht="16.5">
      <c r="A7" s="918"/>
      <c r="B7" s="918"/>
      <c r="C7" s="917"/>
      <c r="D7" s="917"/>
      <c r="E7" s="919"/>
      <c r="F7" s="919"/>
      <c r="G7" s="923" t="s">
        <v>1085</v>
      </c>
      <c r="H7" s="923" t="s">
        <v>1086</v>
      </c>
      <c r="I7" s="923"/>
      <c r="J7" s="922"/>
      <c r="K7" s="923"/>
    </row>
    <row r="8" spans="1:11" s="354" customFormat="1" ht="49.5">
      <c r="A8" s="918"/>
      <c r="B8" s="918"/>
      <c r="C8" s="918"/>
      <c r="D8" s="918"/>
      <c r="E8" s="920"/>
      <c r="F8" s="920"/>
      <c r="G8" s="923"/>
      <c r="H8" s="353" t="s">
        <v>1087</v>
      </c>
      <c r="I8" s="353" t="s">
        <v>1122</v>
      </c>
      <c r="J8" s="922"/>
      <c r="K8" s="924"/>
    </row>
    <row r="9" spans="1:11" s="354" customFormat="1" ht="16.5">
      <c r="A9" s="424"/>
      <c r="B9" s="425" t="s">
        <v>1078</v>
      </c>
      <c r="C9" s="426"/>
      <c r="D9" s="352"/>
      <c r="E9" s="355"/>
      <c r="F9" s="355"/>
      <c r="G9" s="427"/>
      <c r="H9" s="427"/>
      <c r="I9" s="427"/>
      <c r="J9" s="421" t="e">
        <f>J10+#REF!</f>
        <v>#REF!</v>
      </c>
      <c r="K9" s="356" t="e">
        <f>K10+#REF!</f>
        <v>#REF!</v>
      </c>
    </row>
    <row r="10" spans="1:11" s="354" customFormat="1" ht="16.5">
      <c r="A10" s="424" t="s">
        <v>1077</v>
      </c>
      <c r="B10" s="428" t="s">
        <v>650</v>
      </c>
      <c r="C10" s="426"/>
      <c r="D10" s="352"/>
      <c r="E10" s="355"/>
      <c r="F10" s="355"/>
      <c r="G10" s="427"/>
      <c r="H10" s="427"/>
      <c r="I10" s="427"/>
      <c r="J10" s="422">
        <f>SUM(J11:J49)</f>
        <v>0</v>
      </c>
      <c r="K10" s="357">
        <f>SUM(K11:K49)</f>
        <v>0</v>
      </c>
    </row>
    <row r="11" spans="1:11" ht="16.5">
      <c r="A11" s="441">
        <v>1</v>
      </c>
      <c r="B11" s="442" t="s">
        <v>651</v>
      </c>
      <c r="C11" s="443" t="s">
        <v>658</v>
      </c>
      <c r="D11" s="433" t="s">
        <v>968</v>
      </c>
      <c r="E11" s="444">
        <v>2428</v>
      </c>
      <c r="F11" s="444"/>
      <c r="G11" s="444">
        <v>669</v>
      </c>
      <c r="H11" s="429">
        <f>G11</f>
        <v>669</v>
      </c>
      <c r="I11" s="429">
        <f aca="true" t="shared" si="0" ref="I11:I24">G11-H11</f>
        <v>0</v>
      </c>
      <c r="J11" s="423"/>
      <c r="K11" s="185" t="s">
        <v>654</v>
      </c>
    </row>
    <row r="12" spans="1:11" ht="49.5">
      <c r="A12" s="441">
        <v>2</v>
      </c>
      <c r="B12" s="442" t="s">
        <v>655</v>
      </c>
      <c r="C12" s="443" t="s">
        <v>652</v>
      </c>
      <c r="D12" s="433" t="s">
        <v>969</v>
      </c>
      <c r="E12" s="444">
        <v>1184</v>
      </c>
      <c r="F12" s="444">
        <v>355</v>
      </c>
      <c r="G12" s="444">
        <v>0</v>
      </c>
      <c r="H12" s="429">
        <f aca="true" t="shared" si="1" ref="H12:H50">G12</f>
        <v>0</v>
      </c>
      <c r="I12" s="429">
        <f t="shared" si="0"/>
        <v>0</v>
      </c>
      <c r="J12" s="423"/>
      <c r="K12" s="185" t="s">
        <v>656</v>
      </c>
    </row>
    <row r="13" spans="1:11" ht="33">
      <c r="A13" s="441">
        <v>3</v>
      </c>
      <c r="B13" s="442" t="s">
        <v>970</v>
      </c>
      <c r="C13" s="443" t="s">
        <v>658</v>
      </c>
      <c r="D13" s="433" t="s">
        <v>971</v>
      </c>
      <c r="E13" s="444">
        <v>8115</v>
      </c>
      <c r="F13" s="444"/>
      <c r="G13" s="444">
        <v>1825</v>
      </c>
      <c r="H13" s="429">
        <f t="shared" si="1"/>
        <v>1825</v>
      </c>
      <c r="I13" s="429"/>
      <c r="J13" s="423"/>
      <c r="K13" s="185" t="s">
        <v>657</v>
      </c>
    </row>
    <row r="14" spans="1:11" ht="49.5">
      <c r="A14" s="441">
        <v>4</v>
      </c>
      <c r="B14" s="445" t="s">
        <v>940</v>
      </c>
      <c r="C14" s="443" t="s">
        <v>658</v>
      </c>
      <c r="D14" s="433" t="s">
        <v>972</v>
      </c>
      <c r="E14" s="444">
        <v>678</v>
      </c>
      <c r="F14" s="444">
        <v>137.875</v>
      </c>
      <c r="G14" s="444">
        <v>215</v>
      </c>
      <c r="H14" s="429">
        <f t="shared" si="1"/>
        <v>215</v>
      </c>
      <c r="I14" s="429">
        <f t="shared" si="0"/>
        <v>0</v>
      </c>
      <c r="J14" s="423"/>
      <c r="K14" s="185" t="s">
        <v>659</v>
      </c>
    </row>
    <row r="15" spans="1:11" ht="49.5">
      <c r="A15" s="441">
        <v>5</v>
      </c>
      <c r="B15" s="442" t="s">
        <v>662</v>
      </c>
      <c r="C15" s="443" t="s">
        <v>663</v>
      </c>
      <c r="D15" s="433" t="s">
        <v>653</v>
      </c>
      <c r="E15" s="444">
        <v>4950</v>
      </c>
      <c r="F15" s="444"/>
      <c r="G15" s="444"/>
      <c r="H15" s="429">
        <f t="shared" si="1"/>
        <v>0</v>
      </c>
      <c r="I15" s="429">
        <f t="shared" si="0"/>
        <v>0</v>
      </c>
      <c r="J15" s="423"/>
      <c r="K15" s="185" t="s">
        <v>660</v>
      </c>
    </row>
    <row r="16" spans="1:11" ht="66">
      <c r="A16" s="441">
        <v>6</v>
      </c>
      <c r="B16" s="442" t="s">
        <v>946</v>
      </c>
      <c r="C16" s="443" t="s">
        <v>663</v>
      </c>
      <c r="D16" s="433" t="s">
        <v>653</v>
      </c>
      <c r="E16" s="444">
        <v>4950</v>
      </c>
      <c r="F16" s="444"/>
      <c r="G16" s="444"/>
      <c r="H16" s="429">
        <f t="shared" si="1"/>
        <v>0</v>
      </c>
      <c r="I16" s="429">
        <f t="shared" si="0"/>
        <v>0</v>
      </c>
      <c r="J16" s="423"/>
      <c r="K16" s="185" t="s">
        <v>661</v>
      </c>
    </row>
    <row r="17" spans="1:11" ht="33">
      <c r="A17" s="441">
        <v>7</v>
      </c>
      <c r="B17" s="446" t="s">
        <v>947</v>
      </c>
      <c r="C17" s="443" t="s">
        <v>658</v>
      </c>
      <c r="D17" s="433" t="s">
        <v>653</v>
      </c>
      <c r="E17" s="444">
        <v>610</v>
      </c>
      <c r="F17" s="444">
        <v>375</v>
      </c>
      <c r="G17" s="444"/>
      <c r="H17" s="429">
        <f t="shared" si="1"/>
        <v>0</v>
      </c>
      <c r="I17" s="429">
        <f t="shared" si="0"/>
        <v>0</v>
      </c>
      <c r="J17" s="423"/>
      <c r="K17" s="185" t="s">
        <v>654</v>
      </c>
    </row>
    <row r="18" spans="1:11" ht="33">
      <c r="A18" s="441">
        <v>8</v>
      </c>
      <c r="B18" s="442" t="s">
        <v>948</v>
      </c>
      <c r="C18" s="443" t="s">
        <v>658</v>
      </c>
      <c r="D18" s="433" t="s">
        <v>969</v>
      </c>
      <c r="E18" s="444"/>
      <c r="F18" s="444"/>
      <c r="G18" s="444"/>
      <c r="H18" s="429">
        <f t="shared" si="1"/>
        <v>0</v>
      </c>
      <c r="I18" s="429">
        <f t="shared" si="0"/>
        <v>0</v>
      </c>
      <c r="J18" s="423"/>
      <c r="K18" s="185" t="s">
        <v>654</v>
      </c>
    </row>
    <row r="19" spans="1:11" ht="33">
      <c r="A19" s="441">
        <v>9</v>
      </c>
      <c r="B19" s="442" t="s">
        <v>949</v>
      </c>
      <c r="C19" s="443" t="s">
        <v>658</v>
      </c>
      <c r="D19" s="433" t="s">
        <v>969</v>
      </c>
      <c r="E19" s="444">
        <v>403</v>
      </c>
      <c r="F19" s="444"/>
      <c r="G19" s="444">
        <v>403</v>
      </c>
      <c r="H19" s="429">
        <f t="shared" si="1"/>
        <v>403</v>
      </c>
      <c r="I19" s="429">
        <f t="shared" si="0"/>
        <v>0</v>
      </c>
      <c r="J19" s="423"/>
      <c r="K19" s="185" t="s">
        <v>659</v>
      </c>
    </row>
    <row r="20" spans="1:11" ht="33">
      <c r="A20" s="441">
        <v>10</v>
      </c>
      <c r="B20" s="442" t="s">
        <v>950</v>
      </c>
      <c r="C20" s="443" t="s">
        <v>658</v>
      </c>
      <c r="D20" s="433" t="s">
        <v>969</v>
      </c>
      <c r="E20" s="444">
        <v>310</v>
      </c>
      <c r="F20" s="444"/>
      <c r="G20" s="444">
        <v>310</v>
      </c>
      <c r="H20" s="429">
        <f t="shared" si="1"/>
        <v>310</v>
      </c>
      <c r="I20" s="429">
        <f t="shared" si="0"/>
        <v>0</v>
      </c>
      <c r="J20" s="423"/>
      <c r="K20" s="185" t="s">
        <v>657</v>
      </c>
    </row>
    <row r="21" spans="1:11" ht="33">
      <c r="A21" s="441">
        <v>11</v>
      </c>
      <c r="B21" s="442" t="s">
        <v>951</v>
      </c>
      <c r="C21" s="443" t="s">
        <v>658</v>
      </c>
      <c r="D21" s="433" t="s">
        <v>969</v>
      </c>
      <c r="E21" s="444">
        <v>465</v>
      </c>
      <c r="F21" s="444"/>
      <c r="G21" s="444">
        <v>465</v>
      </c>
      <c r="H21" s="429">
        <f t="shared" si="1"/>
        <v>465</v>
      </c>
      <c r="I21" s="429">
        <f t="shared" si="0"/>
        <v>0</v>
      </c>
      <c r="J21" s="423"/>
      <c r="K21" s="185" t="s">
        <v>657</v>
      </c>
    </row>
    <row r="22" spans="1:11" ht="33">
      <c r="A22" s="441">
        <v>12</v>
      </c>
      <c r="B22" s="442" t="s">
        <v>952</v>
      </c>
      <c r="C22" s="443" t="s">
        <v>658</v>
      </c>
      <c r="D22" s="433" t="s">
        <v>969</v>
      </c>
      <c r="E22" s="444">
        <v>465</v>
      </c>
      <c r="F22" s="444"/>
      <c r="G22" s="444">
        <v>465</v>
      </c>
      <c r="H22" s="429">
        <f t="shared" si="1"/>
        <v>465</v>
      </c>
      <c r="I22" s="429">
        <f t="shared" si="0"/>
        <v>0</v>
      </c>
      <c r="J22" s="423"/>
      <c r="K22" s="185" t="s">
        <v>659</v>
      </c>
    </row>
    <row r="23" spans="1:11" ht="33">
      <c r="A23" s="441">
        <v>13</v>
      </c>
      <c r="B23" s="442" t="s">
        <v>953</v>
      </c>
      <c r="C23" s="443" t="s">
        <v>658</v>
      </c>
      <c r="D23" s="433" t="s">
        <v>969</v>
      </c>
      <c r="E23" s="444">
        <v>380</v>
      </c>
      <c r="F23" s="444"/>
      <c r="G23" s="444">
        <v>380</v>
      </c>
      <c r="H23" s="429">
        <f t="shared" si="1"/>
        <v>380</v>
      </c>
      <c r="I23" s="429">
        <f t="shared" si="0"/>
        <v>0</v>
      </c>
      <c r="J23" s="423"/>
      <c r="K23" s="185"/>
    </row>
    <row r="24" spans="1:11" ht="33">
      <c r="A24" s="441">
        <v>14</v>
      </c>
      <c r="B24" s="442" t="s">
        <v>954</v>
      </c>
      <c r="C24" s="441" t="s">
        <v>658</v>
      </c>
      <c r="D24" s="433" t="s">
        <v>653</v>
      </c>
      <c r="E24" s="444">
        <v>700</v>
      </c>
      <c r="F24" s="444"/>
      <c r="G24" s="444"/>
      <c r="H24" s="429">
        <f t="shared" si="1"/>
        <v>0</v>
      </c>
      <c r="I24" s="429">
        <f t="shared" si="0"/>
        <v>0</v>
      </c>
      <c r="J24" s="423"/>
      <c r="K24" s="185"/>
    </row>
    <row r="25" spans="1:11" ht="33">
      <c r="A25" s="441">
        <v>15</v>
      </c>
      <c r="B25" s="442" t="s">
        <v>955</v>
      </c>
      <c r="C25" s="443" t="s">
        <v>658</v>
      </c>
      <c r="D25" s="433" t="s">
        <v>969</v>
      </c>
      <c r="E25" s="444">
        <v>650</v>
      </c>
      <c r="F25" s="444">
        <f>E25*0.7</f>
        <v>454.99999999999994</v>
      </c>
      <c r="G25" s="444"/>
      <c r="H25" s="429">
        <f t="shared" si="1"/>
        <v>0</v>
      </c>
      <c r="I25" s="429"/>
      <c r="J25" s="423"/>
      <c r="K25" s="185"/>
    </row>
    <row r="26" spans="1:11" ht="33">
      <c r="A26" s="441">
        <v>16</v>
      </c>
      <c r="B26" s="442" t="s">
        <v>956</v>
      </c>
      <c r="C26" s="443" t="s">
        <v>658</v>
      </c>
      <c r="D26" s="433" t="s">
        <v>969</v>
      </c>
      <c r="E26" s="444">
        <v>757</v>
      </c>
      <c r="F26" s="444"/>
      <c r="G26" s="444"/>
      <c r="H26" s="429">
        <f t="shared" si="1"/>
        <v>0</v>
      </c>
      <c r="I26" s="429">
        <f>G26-H26</f>
        <v>0</v>
      </c>
      <c r="J26" s="423"/>
      <c r="K26" s="185"/>
    </row>
    <row r="27" spans="1:11" ht="33">
      <c r="A27" s="441">
        <v>17</v>
      </c>
      <c r="B27" s="442" t="s">
        <v>957</v>
      </c>
      <c r="C27" s="443" t="s">
        <v>658</v>
      </c>
      <c r="D27" s="433" t="s">
        <v>969</v>
      </c>
      <c r="E27" s="444">
        <v>563</v>
      </c>
      <c r="F27" s="444"/>
      <c r="G27" s="444"/>
      <c r="H27" s="429">
        <f t="shared" si="1"/>
        <v>0</v>
      </c>
      <c r="I27" s="429">
        <f>G27-H27</f>
        <v>0</v>
      </c>
      <c r="J27" s="423"/>
      <c r="K27" s="185"/>
    </row>
    <row r="28" spans="1:11" ht="33">
      <c r="A28" s="441">
        <v>18</v>
      </c>
      <c r="B28" s="442" t="s">
        <v>958</v>
      </c>
      <c r="C28" s="443" t="s">
        <v>658</v>
      </c>
      <c r="D28" s="433" t="s">
        <v>969</v>
      </c>
      <c r="E28" s="444">
        <v>605</v>
      </c>
      <c r="F28" s="444"/>
      <c r="G28" s="444"/>
      <c r="H28" s="429">
        <f t="shared" si="1"/>
        <v>0</v>
      </c>
      <c r="I28" s="429">
        <f>G28-H28</f>
        <v>0</v>
      </c>
      <c r="J28" s="423"/>
      <c r="K28" s="185"/>
    </row>
    <row r="29" spans="1:11" ht="33">
      <c r="A29" s="441">
        <v>19</v>
      </c>
      <c r="B29" s="442" t="s">
        <v>959</v>
      </c>
      <c r="C29" s="443" t="s">
        <v>658</v>
      </c>
      <c r="D29" s="433" t="s">
        <v>969</v>
      </c>
      <c r="E29" s="444">
        <v>598.4</v>
      </c>
      <c r="F29" s="444"/>
      <c r="G29" s="444"/>
      <c r="H29" s="429">
        <f t="shared" si="1"/>
        <v>0</v>
      </c>
      <c r="I29" s="429">
        <f>G29-H29</f>
        <v>0</v>
      </c>
      <c r="J29" s="423"/>
      <c r="K29" s="185"/>
    </row>
    <row r="30" spans="1:11" ht="33">
      <c r="A30" s="441">
        <v>20</v>
      </c>
      <c r="B30" s="442" t="s">
        <v>960</v>
      </c>
      <c r="C30" s="443" t="s">
        <v>658</v>
      </c>
      <c r="D30" s="433" t="s">
        <v>969</v>
      </c>
      <c r="E30" s="444">
        <v>563</v>
      </c>
      <c r="F30" s="444"/>
      <c r="G30" s="444"/>
      <c r="H30" s="429">
        <f t="shared" si="1"/>
        <v>0</v>
      </c>
      <c r="I30" s="429"/>
      <c r="J30" s="423"/>
      <c r="K30" s="185"/>
    </row>
    <row r="31" spans="1:11" ht="33">
      <c r="A31" s="441">
        <v>21</v>
      </c>
      <c r="B31" s="442" t="s">
        <v>961</v>
      </c>
      <c r="C31" s="443" t="s">
        <v>658</v>
      </c>
      <c r="D31" s="433" t="s">
        <v>969</v>
      </c>
      <c r="E31" s="444">
        <v>734.45</v>
      </c>
      <c r="F31" s="444"/>
      <c r="G31" s="444"/>
      <c r="H31" s="429">
        <f t="shared" si="1"/>
        <v>0</v>
      </c>
      <c r="I31" s="429">
        <f aca="true" t="shared" si="2" ref="I31:I49">G31-H31</f>
        <v>0</v>
      </c>
      <c r="J31" s="423"/>
      <c r="K31" s="185"/>
    </row>
    <row r="32" spans="1:11" ht="33">
      <c r="A32" s="441">
        <v>22</v>
      </c>
      <c r="B32" s="442" t="s">
        <v>962</v>
      </c>
      <c r="C32" s="443" t="s">
        <v>658</v>
      </c>
      <c r="D32" s="433" t="s">
        <v>969</v>
      </c>
      <c r="E32" s="444">
        <v>601</v>
      </c>
      <c r="F32" s="444"/>
      <c r="G32" s="444"/>
      <c r="H32" s="429">
        <f t="shared" si="1"/>
        <v>0</v>
      </c>
      <c r="I32" s="429">
        <f t="shared" si="2"/>
        <v>0</v>
      </c>
      <c r="J32" s="423"/>
      <c r="K32" s="185"/>
    </row>
    <row r="33" spans="1:11" ht="33">
      <c r="A33" s="441">
        <v>23</v>
      </c>
      <c r="B33" s="442" t="s">
        <v>963</v>
      </c>
      <c r="C33" s="443" t="s">
        <v>658</v>
      </c>
      <c r="D33" s="433" t="s">
        <v>969</v>
      </c>
      <c r="E33" s="444">
        <v>734.4</v>
      </c>
      <c r="F33" s="444"/>
      <c r="G33" s="444"/>
      <c r="H33" s="429">
        <f t="shared" si="1"/>
        <v>0</v>
      </c>
      <c r="I33" s="429">
        <f t="shared" si="2"/>
        <v>0</v>
      </c>
      <c r="J33" s="423"/>
      <c r="K33" s="185"/>
    </row>
    <row r="34" spans="1:11" ht="33">
      <c r="A34" s="441">
        <v>24</v>
      </c>
      <c r="B34" s="442" t="s">
        <v>964</v>
      </c>
      <c r="C34" s="443" t="s">
        <v>658</v>
      </c>
      <c r="D34" s="433" t="s">
        <v>969</v>
      </c>
      <c r="E34" s="444">
        <v>734.4</v>
      </c>
      <c r="F34" s="444"/>
      <c r="G34" s="444"/>
      <c r="H34" s="429">
        <f t="shared" si="1"/>
        <v>0</v>
      </c>
      <c r="I34" s="429">
        <f t="shared" si="2"/>
        <v>0</v>
      </c>
      <c r="J34" s="423"/>
      <c r="K34" s="185"/>
    </row>
    <row r="35" spans="1:11" ht="33">
      <c r="A35" s="441">
        <v>25</v>
      </c>
      <c r="B35" s="442" t="s">
        <v>965</v>
      </c>
      <c r="C35" s="443" t="s">
        <v>658</v>
      </c>
      <c r="D35" s="433" t="s">
        <v>969</v>
      </c>
      <c r="E35" s="444">
        <v>563</v>
      </c>
      <c r="F35" s="444"/>
      <c r="G35" s="444"/>
      <c r="H35" s="429">
        <f t="shared" si="1"/>
        <v>0</v>
      </c>
      <c r="I35" s="429">
        <f t="shared" si="2"/>
        <v>0</v>
      </c>
      <c r="J35" s="423"/>
      <c r="K35" s="185"/>
    </row>
    <row r="36" spans="1:11" ht="33">
      <c r="A36" s="441">
        <v>26</v>
      </c>
      <c r="B36" s="442" t="s">
        <v>966</v>
      </c>
      <c r="C36" s="443" t="s">
        <v>663</v>
      </c>
      <c r="D36" s="433">
        <v>2012</v>
      </c>
      <c r="E36" s="444">
        <v>15450</v>
      </c>
      <c r="F36" s="444"/>
      <c r="G36" s="444"/>
      <c r="H36" s="429">
        <f t="shared" si="1"/>
        <v>0</v>
      </c>
      <c r="I36" s="429">
        <f t="shared" si="2"/>
        <v>0</v>
      </c>
      <c r="J36" s="423"/>
      <c r="K36" s="185"/>
    </row>
    <row r="37" spans="1:11" ht="33">
      <c r="A37" s="441">
        <v>27</v>
      </c>
      <c r="B37" s="442" t="s">
        <v>988</v>
      </c>
      <c r="C37" s="443" t="s">
        <v>663</v>
      </c>
      <c r="D37" s="433">
        <v>2012</v>
      </c>
      <c r="E37" s="444">
        <v>35850</v>
      </c>
      <c r="F37" s="444"/>
      <c r="G37" s="444"/>
      <c r="H37" s="429">
        <f t="shared" si="1"/>
        <v>0</v>
      </c>
      <c r="I37" s="429">
        <f t="shared" si="2"/>
        <v>0</v>
      </c>
      <c r="J37" s="423"/>
      <c r="K37" s="185"/>
    </row>
    <row r="38" spans="1:11" ht="49.5">
      <c r="A38" s="441">
        <v>28</v>
      </c>
      <c r="B38" s="442" t="s">
        <v>989</v>
      </c>
      <c r="C38" s="443" t="s">
        <v>663</v>
      </c>
      <c r="D38" s="433">
        <v>2012</v>
      </c>
      <c r="E38" s="444">
        <v>81600</v>
      </c>
      <c r="F38" s="444"/>
      <c r="G38" s="444"/>
      <c r="H38" s="429">
        <f t="shared" si="1"/>
        <v>0</v>
      </c>
      <c r="I38" s="429">
        <f t="shared" si="2"/>
        <v>0</v>
      </c>
      <c r="J38" s="423"/>
      <c r="K38" s="185"/>
    </row>
    <row r="39" spans="1:11" ht="49.5">
      <c r="A39" s="441">
        <v>29</v>
      </c>
      <c r="B39" s="431" t="s">
        <v>990</v>
      </c>
      <c r="C39" s="430" t="s">
        <v>658</v>
      </c>
      <c r="D39" s="433">
        <v>2015</v>
      </c>
      <c r="E39" s="444"/>
      <c r="F39" s="444"/>
      <c r="G39" s="444"/>
      <c r="H39" s="429">
        <f t="shared" si="1"/>
        <v>0</v>
      </c>
      <c r="I39" s="429">
        <f t="shared" si="2"/>
        <v>0</v>
      </c>
      <c r="J39" s="423"/>
      <c r="K39" s="185"/>
    </row>
    <row r="40" spans="1:11" ht="33">
      <c r="A40" s="441">
        <v>30</v>
      </c>
      <c r="B40" s="431" t="s">
        <v>992</v>
      </c>
      <c r="C40" s="432" t="s">
        <v>658</v>
      </c>
      <c r="D40" s="433">
        <v>2013</v>
      </c>
      <c r="E40" s="434"/>
      <c r="F40" s="435"/>
      <c r="G40" s="435"/>
      <c r="H40" s="429">
        <f t="shared" si="1"/>
        <v>0</v>
      </c>
      <c r="I40" s="429">
        <f t="shared" si="2"/>
        <v>0</v>
      </c>
      <c r="J40" s="423"/>
      <c r="K40" s="185"/>
    </row>
    <row r="41" spans="1:11" ht="33">
      <c r="A41" s="441">
        <v>31</v>
      </c>
      <c r="B41" s="431" t="s">
        <v>993</v>
      </c>
      <c r="C41" s="432" t="s">
        <v>658</v>
      </c>
      <c r="D41" s="433">
        <v>2013</v>
      </c>
      <c r="E41" s="434">
        <v>462</v>
      </c>
      <c r="F41" s="435"/>
      <c r="G41" s="435"/>
      <c r="H41" s="429">
        <f t="shared" si="1"/>
        <v>0</v>
      </c>
      <c r="I41" s="429">
        <f t="shared" si="2"/>
        <v>0</v>
      </c>
      <c r="J41" s="423"/>
      <c r="K41" s="185"/>
    </row>
    <row r="42" spans="1:11" ht="49.5">
      <c r="A42" s="441">
        <v>32</v>
      </c>
      <c r="B42" s="431" t="s">
        <v>994</v>
      </c>
      <c r="C42" s="432" t="s">
        <v>658</v>
      </c>
      <c r="D42" s="433">
        <v>2013</v>
      </c>
      <c r="E42" s="434"/>
      <c r="F42" s="435"/>
      <c r="G42" s="435"/>
      <c r="H42" s="429">
        <f t="shared" si="1"/>
        <v>0</v>
      </c>
      <c r="I42" s="429">
        <f t="shared" si="2"/>
        <v>0</v>
      </c>
      <c r="J42" s="423"/>
      <c r="K42" s="185"/>
    </row>
    <row r="43" spans="1:11" ht="16.5">
      <c r="A43" s="424" t="s">
        <v>1080</v>
      </c>
      <c r="B43" s="428" t="s">
        <v>991</v>
      </c>
      <c r="C43" s="426"/>
      <c r="D43" s="352"/>
      <c r="E43" s="355"/>
      <c r="F43" s="355"/>
      <c r="G43" s="355"/>
      <c r="H43" s="429"/>
      <c r="I43" s="429"/>
      <c r="J43" s="423"/>
      <c r="K43" s="185"/>
    </row>
    <row r="44" spans="1:11" ht="49.5">
      <c r="A44" s="441">
        <v>1</v>
      </c>
      <c r="B44" s="439" t="s">
        <v>973</v>
      </c>
      <c r="C44" s="447" t="s">
        <v>658</v>
      </c>
      <c r="D44" s="443" t="s">
        <v>309</v>
      </c>
      <c r="E44" s="448">
        <v>455.2</v>
      </c>
      <c r="F44" s="448"/>
      <c r="G44" s="448"/>
      <c r="H44" s="429">
        <f t="shared" si="1"/>
        <v>0</v>
      </c>
      <c r="I44" s="429">
        <f t="shared" si="2"/>
        <v>0</v>
      </c>
      <c r="J44" s="423"/>
      <c r="K44" s="185"/>
    </row>
    <row r="45" spans="1:11" ht="33">
      <c r="A45" s="441">
        <v>2</v>
      </c>
      <c r="B45" s="439" t="s">
        <v>974</v>
      </c>
      <c r="C45" s="447" t="s">
        <v>658</v>
      </c>
      <c r="D45" s="443" t="s">
        <v>309</v>
      </c>
      <c r="E45" s="448"/>
      <c r="F45" s="448"/>
      <c r="G45" s="448"/>
      <c r="H45" s="429">
        <f t="shared" si="1"/>
        <v>0</v>
      </c>
      <c r="I45" s="429">
        <f t="shared" si="2"/>
        <v>0</v>
      </c>
      <c r="J45" s="423"/>
      <c r="K45" s="185"/>
    </row>
    <row r="46" spans="1:11" ht="33">
      <c r="A46" s="441">
        <v>3</v>
      </c>
      <c r="B46" s="442" t="s">
        <v>941</v>
      </c>
      <c r="C46" s="443" t="s">
        <v>658</v>
      </c>
      <c r="D46" s="443">
        <v>2015</v>
      </c>
      <c r="E46" s="440">
        <v>455</v>
      </c>
      <c r="F46" s="448"/>
      <c r="G46" s="448"/>
      <c r="H46" s="429">
        <f t="shared" si="1"/>
        <v>0</v>
      </c>
      <c r="I46" s="429">
        <f t="shared" si="2"/>
        <v>0</v>
      </c>
      <c r="J46" s="423"/>
      <c r="K46" s="185"/>
    </row>
    <row r="47" spans="1:11" ht="33">
      <c r="A47" s="441">
        <v>4</v>
      </c>
      <c r="B47" s="442" t="s">
        <v>942</v>
      </c>
      <c r="C47" s="443" t="s">
        <v>658</v>
      </c>
      <c r="D47" s="443">
        <v>2015</v>
      </c>
      <c r="E47" s="440">
        <v>626</v>
      </c>
      <c r="F47" s="448"/>
      <c r="G47" s="448"/>
      <c r="H47" s="429">
        <f t="shared" si="1"/>
        <v>0</v>
      </c>
      <c r="I47" s="429">
        <f t="shared" si="2"/>
        <v>0</v>
      </c>
      <c r="J47" s="423"/>
      <c r="K47" s="185"/>
    </row>
    <row r="48" spans="1:11" ht="33">
      <c r="A48" s="441">
        <v>5</v>
      </c>
      <c r="B48" s="442" t="s">
        <v>943</v>
      </c>
      <c r="C48" s="443"/>
      <c r="D48" s="443">
        <v>2015</v>
      </c>
      <c r="E48" s="440">
        <v>7115</v>
      </c>
      <c r="F48" s="448"/>
      <c r="G48" s="448"/>
      <c r="H48" s="429">
        <f t="shared" si="1"/>
        <v>0</v>
      </c>
      <c r="I48" s="429">
        <f t="shared" si="2"/>
        <v>0</v>
      </c>
      <c r="J48" s="423"/>
      <c r="K48" s="185"/>
    </row>
    <row r="49" spans="1:11" ht="49.5">
      <c r="A49" s="441">
        <v>6</v>
      </c>
      <c r="B49" s="442" t="s">
        <v>944</v>
      </c>
      <c r="C49" s="443" t="s">
        <v>945</v>
      </c>
      <c r="D49" s="443">
        <v>2015</v>
      </c>
      <c r="E49" s="440">
        <v>573</v>
      </c>
      <c r="F49" s="448"/>
      <c r="G49" s="448"/>
      <c r="H49" s="429">
        <f t="shared" si="1"/>
        <v>0</v>
      </c>
      <c r="I49" s="429">
        <f t="shared" si="2"/>
        <v>0</v>
      </c>
      <c r="J49" s="423"/>
      <c r="K49" s="185"/>
    </row>
    <row r="50" spans="1:9" ht="33">
      <c r="A50" s="441">
        <v>7</v>
      </c>
      <c r="B50" s="439" t="s">
        <v>308</v>
      </c>
      <c r="C50" s="436" t="s">
        <v>658</v>
      </c>
      <c r="D50" s="437" t="s">
        <v>309</v>
      </c>
      <c r="E50" s="438"/>
      <c r="F50" s="440"/>
      <c r="G50" s="429">
        <f>E50-F50</f>
        <v>0</v>
      </c>
      <c r="H50" s="429">
        <f t="shared" si="1"/>
        <v>0</v>
      </c>
      <c r="I50" s="440"/>
    </row>
  </sheetData>
  <sheetProtection/>
  <mergeCells count="15">
    <mergeCell ref="J6:J8"/>
    <mergeCell ref="K6:K8"/>
    <mergeCell ref="G7:G8"/>
    <mergeCell ref="H7:I7"/>
    <mergeCell ref="G6:I6"/>
    <mergeCell ref="A6:A8"/>
    <mergeCell ref="B6:B8"/>
    <mergeCell ref="C6:C8"/>
    <mergeCell ref="A1:B1"/>
    <mergeCell ref="A3:I3"/>
    <mergeCell ref="A4:I4"/>
    <mergeCell ref="F5:I5"/>
    <mergeCell ref="D6:D8"/>
    <mergeCell ref="F6:F8"/>
    <mergeCell ref="E6:E8"/>
  </mergeCells>
  <printOptions horizontalCentered="1"/>
  <pageMargins left="0.4" right="0.35" top="0.65" bottom="0.53" header="0.3" footer="0.3"/>
  <pageSetup horizontalDpi="600" verticalDpi="600" orientation="landscape" paperSize="9" r:id="rId1"/>
  <headerFooter>
    <oddFooter>&amp;R&amp;P</oddFooter>
  </headerFooter>
</worksheet>
</file>

<file path=xl/worksheets/sheet17.xml><?xml version="1.0" encoding="utf-8"?>
<worksheet xmlns="http://schemas.openxmlformats.org/spreadsheetml/2006/main" xmlns:r="http://schemas.openxmlformats.org/officeDocument/2006/relationships">
  <dimension ref="A1:N33"/>
  <sheetViews>
    <sheetView showZeros="0" zoomScale="85" zoomScaleNormal="85" zoomScalePageLayoutView="0" workbookViewId="0" topLeftCell="A1">
      <pane xSplit="5" ySplit="5" topLeftCell="F6" activePane="bottomRight" state="frozen"/>
      <selection pane="topLeft" activeCell="K24" sqref="K24"/>
      <selection pane="topRight" activeCell="K24" sqref="K24"/>
      <selection pane="bottomLeft" activeCell="K24" sqref="K24"/>
      <selection pane="bottomRight" activeCell="K24" sqref="K24"/>
    </sheetView>
  </sheetViews>
  <sheetFormatPr defaultColWidth="9.00390625" defaultRowHeight="15.75"/>
  <cols>
    <col min="1" max="1" width="3.875" style="151" customWidth="1"/>
    <col min="2" max="2" width="48.875" style="152" customWidth="1"/>
    <col min="3" max="3" width="10.00390625" style="5" hidden="1" customWidth="1"/>
    <col min="4" max="5" width="8.75390625" style="5" hidden="1" customWidth="1"/>
    <col min="6" max="6" width="8.625" style="5" customWidth="1"/>
    <col min="7" max="7" width="8.75390625" style="5" bestFit="1" customWidth="1"/>
    <col min="8" max="8" width="11.00390625" style="5" bestFit="1" customWidth="1"/>
    <col min="9" max="9" width="10.125" style="5" customWidth="1"/>
    <col min="10" max="10" width="9.00390625" style="5" bestFit="1" customWidth="1"/>
    <col min="11" max="11" width="15.625" style="5" bestFit="1" customWidth="1"/>
    <col min="12" max="12" width="12.50390625" style="5" hidden="1" customWidth="1"/>
    <col min="13" max="16384" width="9.00390625" style="5" customWidth="1"/>
  </cols>
  <sheetData>
    <row r="1" spans="1:11" ht="15.75">
      <c r="A1" s="930" t="s">
        <v>1196</v>
      </c>
      <c r="B1" s="930"/>
      <c r="C1" s="140"/>
      <c r="D1" s="140"/>
      <c r="E1" s="140"/>
      <c r="F1" s="140"/>
      <c r="G1" s="140"/>
      <c r="H1" s="140"/>
      <c r="I1" s="140"/>
      <c r="J1" s="140"/>
      <c r="K1" s="141"/>
    </row>
    <row r="2" spans="1:11" ht="16.5">
      <c r="A2" s="931" t="s">
        <v>447</v>
      </c>
      <c r="B2" s="931"/>
      <c r="C2" s="931"/>
      <c r="D2" s="931"/>
      <c r="E2" s="931"/>
      <c r="F2" s="931"/>
      <c r="G2" s="931"/>
      <c r="H2" s="931"/>
      <c r="I2" s="931"/>
      <c r="J2" s="931"/>
      <c r="K2" s="931"/>
    </row>
    <row r="3" spans="1:11" ht="15.75">
      <c r="A3" s="142"/>
      <c r="B3" s="143"/>
      <c r="C3" s="144"/>
      <c r="D3" s="144"/>
      <c r="E3" s="144"/>
      <c r="F3" s="144"/>
      <c r="G3" s="144"/>
      <c r="H3" s="144"/>
      <c r="I3" s="144"/>
      <c r="J3" s="144"/>
      <c r="K3" s="145" t="s">
        <v>1090</v>
      </c>
    </row>
    <row r="4" spans="1:11" s="147" customFormat="1" ht="15.75">
      <c r="A4" s="928" t="s">
        <v>1035</v>
      </c>
      <c r="B4" s="932" t="s">
        <v>1036</v>
      </c>
      <c r="C4" s="928" t="s">
        <v>448</v>
      </c>
      <c r="D4" s="928" t="s">
        <v>449</v>
      </c>
      <c r="E4" s="928" t="s">
        <v>269</v>
      </c>
      <c r="F4" s="928" t="s">
        <v>310</v>
      </c>
      <c r="G4" s="925" t="s">
        <v>641</v>
      </c>
      <c r="H4" s="925"/>
      <c r="I4" s="928" t="s">
        <v>311</v>
      </c>
      <c r="J4" s="926" t="s">
        <v>450</v>
      </c>
      <c r="K4" s="927"/>
    </row>
    <row r="5" spans="1:11" s="147" customFormat="1" ht="47.25">
      <c r="A5" s="929"/>
      <c r="B5" s="933"/>
      <c r="C5" s="929"/>
      <c r="D5" s="929"/>
      <c r="E5" s="929"/>
      <c r="F5" s="929"/>
      <c r="G5" s="146" t="s">
        <v>163</v>
      </c>
      <c r="H5" s="148" t="s">
        <v>162</v>
      </c>
      <c r="I5" s="929"/>
      <c r="J5" s="148" t="s">
        <v>312</v>
      </c>
      <c r="K5" s="148" t="s">
        <v>313</v>
      </c>
    </row>
    <row r="6" spans="1:11" s="147" customFormat="1" ht="15.75">
      <c r="A6" s="148"/>
      <c r="B6" s="314" t="s">
        <v>1078</v>
      </c>
      <c r="C6" s="315" t="e">
        <f aca="true" t="shared" si="0" ref="C6:I6">C7+C26+C28</f>
        <v>#REF!</v>
      </c>
      <c r="D6" s="315" t="e">
        <f t="shared" si="0"/>
        <v>#REF!</v>
      </c>
      <c r="E6" s="315" t="e">
        <f t="shared" si="0"/>
        <v>#REF!</v>
      </c>
      <c r="F6" s="316">
        <f t="shared" si="0"/>
        <v>40205.86</v>
      </c>
      <c r="G6" s="316">
        <f t="shared" si="0"/>
        <v>44415.06</v>
      </c>
      <c r="H6" s="316">
        <f t="shared" si="0"/>
        <v>45605.06</v>
      </c>
      <c r="I6" s="316">
        <f t="shared" si="0"/>
        <v>54341</v>
      </c>
      <c r="J6" s="310">
        <f aca="true" t="shared" si="1" ref="J6:J13">H6/F6*100</f>
        <v>113.42888822674107</v>
      </c>
      <c r="K6" s="310">
        <f>I6/H6*100</f>
        <v>119.15563755425384</v>
      </c>
    </row>
    <row r="7" spans="1:12" s="149" customFormat="1" ht="15.75">
      <c r="A7" s="317" t="s">
        <v>1042</v>
      </c>
      <c r="B7" s="318" t="s">
        <v>1087</v>
      </c>
      <c r="C7" s="319" t="e">
        <f aca="true" t="shared" si="2" ref="C7:I7">C8+C17+C21+C24+C25</f>
        <v>#REF!</v>
      </c>
      <c r="D7" s="319" t="e">
        <f t="shared" si="2"/>
        <v>#REF!</v>
      </c>
      <c r="E7" s="319" t="e">
        <f t="shared" si="2"/>
        <v>#REF!</v>
      </c>
      <c r="F7" s="320">
        <f t="shared" si="2"/>
        <v>20668.673000000003</v>
      </c>
      <c r="G7" s="320">
        <f t="shared" si="2"/>
        <v>23019.059999999998</v>
      </c>
      <c r="H7" s="320">
        <f t="shared" si="2"/>
        <v>24205.059999999998</v>
      </c>
      <c r="I7" s="320">
        <f t="shared" si="2"/>
        <v>29641</v>
      </c>
      <c r="J7" s="310">
        <f t="shared" si="1"/>
        <v>117.109888960941</v>
      </c>
      <c r="K7" s="310">
        <f aca="true" t="shared" si="3" ref="K7:K29">I7/H7*100</f>
        <v>122.45786624780108</v>
      </c>
      <c r="L7" s="636">
        <f>I7/$I$6*100</f>
        <v>54.54629101415138</v>
      </c>
    </row>
    <row r="8" spans="1:13" s="149" customFormat="1" ht="15.75">
      <c r="A8" s="305" t="s">
        <v>1077</v>
      </c>
      <c r="B8" s="318" t="s">
        <v>451</v>
      </c>
      <c r="C8" s="320" t="e">
        <f>C9+C13+C14+C15+#REF!</f>
        <v>#REF!</v>
      </c>
      <c r="D8" s="320" t="e">
        <f>D9+D13+D14+D15+#REF!</f>
        <v>#REF!</v>
      </c>
      <c r="E8" s="320" t="e">
        <f>E9+E13+E14+E15+#REF!</f>
        <v>#REF!</v>
      </c>
      <c r="F8" s="320">
        <f>F9+F13+F14+F15+F16</f>
        <v>3559.2</v>
      </c>
      <c r="G8" s="320">
        <f>G9+G13+G14+G15+G16</f>
        <v>4385.0599999999995</v>
      </c>
      <c r="H8" s="320">
        <f>H9+H13+H14+H15+H16</f>
        <v>4805.0599999999995</v>
      </c>
      <c r="I8" s="320">
        <f>I9+I13+I14+I15+I16</f>
        <v>8141</v>
      </c>
      <c r="J8" s="310">
        <f t="shared" si="1"/>
        <v>135.0039334681951</v>
      </c>
      <c r="K8" s="310">
        <f t="shared" si="3"/>
        <v>169.42556388473818</v>
      </c>
      <c r="L8" s="636">
        <f aca="true" t="shared" si="4" ref="L8:L32">I8/$I$6*100</f>
        <v>14.981321653999743</v>
      </c>
      <c r="M8" s="359">
        <f>H8/$H$6</f>
        <v>0.10536243127407353</v>
      </c>
    </row>
    <row r="9" spans="1:12" s="149" customFormat="1" ht="15.75">
      <c r="A9" s="321">
        <v>1</v>
      </c>
      <c r="B9" s="318" t="s">
        <v>452</v>
      </c>
      <c r="C9" s="322">
        <f aca="true" t="shared" si="5" ref="C9:I9">SUM(C10:C12)</f>
        <v>1935.7</v>
      </c>
      <c r="D9" s="322">
        <f t="shared" si="5"/>
        <v>2423</v>
      </c>
      <c r="E9" s="322">
        <f t="shared" si="5"/>
        <v>3076.886</v>
      </c>
      <c r="F9" s="322">
        <f t="shared" si="5"/>
        <v>3124.2</v>
      </c>
      <c r="G9" s="316">
        <f t="shared" si="5"/>
        <v>3400.06</v>
      </c>
      <c r="H9" s="316">
        <f t="shared" si="5"/>
        <v>3500.06</v>
      </c>
      <c r="I9" s="322">
        <f t="shared" si="5"/>
        <v>4280</v>
      </c>
      <c r="J9" s="310">
        <f t="shared" si="1"/>
        <v>112.03059983355739</v>
      </c>
      <c r="K9" s="310">
        <f t="shared" si="3"/>
        <v>122.28361799512008</v>
      </c>
      <c r="L9" s="636">
        <f t="shared" si="4"/>
        <v>7.8761892493697205</v>
      </c>
    </row>
    <row r="10" spans="1:12" s="149" customFormat="1" ht="15.75">
      <c r="A10" s="321"/>
      <c r="B10" s="146" t="s">
        <v>453</v>
      </c>
      <c r="C10" s="323">
        <v>1029.7</v>
      </c>
      <c r="D10" s="323">
        <v>1680</v>
      </c>
      <c r="E10" s="323">
        <v>2104</v>
      </c>
      <c r="F10" s="323">
        <v>2264.2</v>
      </c>
      <c r="G10" s="324">
        <v>2400.06</v>
      </c>
      <c r="H10" s="324">
        <f>G10</f>
        <v>2400.06</v>
      </c>
      <c r="I10" s="323">
        <v>3080</v>
      </c>
      <c r="J10" s="325">
        <f t="shared" si="1"/>
        <v>106.00035332567795</v>
      </c>
      <c r="K10" s="325">
        <f t="shared" si="3"/>
        <v>128.33012508020633</v>
      </c>
      <c r="L10" s="636">
        <f t="shared" si="4"/>
        <v>5.66791188973335</v>
      </c>
    </row>
    <row r="11" spans="1:12" s="149" customFormat="1" ht="15.75">
      <c r="A11" s="321"/>
      <c r="B11" s="146" t="s">
        <v>1155</v>
      </c>
      <c r="C11" s="323">
        <v>300</v>
      </c>
      <c r="D11" s="323">
        <v>200</v>
      </c>
      <c r="E11" s="323">
        <v>140</v>
      </c>
      <c r="F11" s="323">
        <v>160</v>
      </c>
      <c r="G11" s="324">
        <v>200</v>
      </c>
      <c r="H11" s="324">
        <f>G11</f>
        <v>200</v>
      </c>
      <c r="I11" s="323">
        <v>200</v>
      </c>
      <c r="J11" s="325">
        <f t="shared" si="1"/>
        <v>125</v>
      </c>
      <c r="K11" s="325">
        <f t="shared" si="3"/>
        <v>100</v>
      </c>
      <c r="L11" s="636">
        <f t="shared" si="4"/>
        <v>0.36804622660606173</v>
      </c>
    </row>
    <row r="12" spans="1:12" s="149" customFormat="1" ht="15.75">
      <c r="A12" s="321"/>
      <c r="B12" s="146" t="s">
        <v>1156</v>
      </c>
      <c r="C12" s="323">
        <v>606</v>
      </c>
      <c r="D12" s="323">
        <v>543</v>
      </c>
      <c r="E12" s="323">
        <v>832.886</v>
      </c>
      <c r="F12" s="323">
        <v>700</v>
      </c>
      <c r="G12" s="324">
        <v>800</v>
      </c>
      <c r="H12" s="324">
        <v>900</v>
      </c>
      <c r="I12" s="323">
        <v>1000</v>
      </c>
      <c r="J12" s="325">
        <f t="shared" si="1"/>
        <v>128.57142857142858</v>
      </c>
      <c r="K12" s="325">
        <f t="shared" si="3"/>
        <v>111.11111111111111</v>
      </c>
      <c r="L12" s="636">
        <f t="shared" si="4"/>
        <v>1.8402311330303085</v>
      </c>
    </row>
    <row r="13" spans="1:12" s="2" customFormat="1" ht="31.5">
      <c r="A13" s="326">
        <v>2</v>
      </c>
      <c r="B13" s="327" t="s">
        <v>454</v>
      </c>
      <c r="C13" s="328">
        <v>270</v>
      </c>
      <c r="D13" s="329">
        <v>300</v>
      </c>
      <c r="E13" s="329">
        <f>350*0.6</f>
        <v>210</v>
      </c>
      <c r="F13" s="329">
        <f>400*0.6</f>
        <v>240</v>
      </c>
      <c r="G13" s="138">
        <f>500*0.6</f>
        <v>300</v>
      </c>
      <c r="H13" s="138">
        <f>500*0.6</f>
        <v>300</v>
      </c>
      <c r="I13" s="329">
        <v>300</v>
      </c>
      <c r="J13" s="310">
        <f t="shared" si="1"/>
        <v>125</v>
      </c>
      <c r="K13" s="310">
        <f t="shared" si="3"/>
        <v>100</v>
      </c>
      <c r="L13" s="636">
        <f t="shared" si="4"/>
        <v>0.5520693399090926</v>
      </c>
    </row>
    <row r="14" spans="1:12" s="149" customFormat="1" ht="15.75">
      <c r="A14" s="321">
        <v>3</v>
      </c>
      <c r="B14" s="318" t="s">
        <v>455</v>
      </c>
      <c r="C14" s="316">
        <v>81</v>
      </c>
      <c r="D14" s="316">
        <v>47</v>
      </c>
      <c r="E14" s="322">
        <v>58.1</v>
      </c>
      <c r="F14" s="330"/>
      <c r="G14" s="330">
        <v>125</v>
      </c>
      <c r="H14" s="330">
        <v>125</v>
      </c>
      <c r="I14" s="330">
        <v>388</v>
      </c>
      <c r="J14" s="310"/>
      <c r="K14" s="310">
        <f t="shared" si="3"/>
        <v>310.40000000000003</v>
      </c>
      <c r="L14" s="636">
        <f t="shared" si="4"/>
        <v>0.7140096796157598</v>
      </c>
    </row>
    <row r="15" spans="1:12" s="149" customFormat="1" ht="15.75">
      <c r="A15" s="321">
        <v>4</v>
      </c>
      <c r="B15" s="318" t="s">
        <v>473</v>
      </c>
      <c r="C15" s="316">
        <v>32.2</v>
      </c>
      <c r="D15" s="316">
        <v>100</v>
      </c>
      <c r="E15" s="316">
        <v>160</v>
      </c>
      <c r="F15" s="330">
        <v>195</v>
      </c>
      <c r="G15" s="330">
        <v>60</v>
      </c>
      <c r="H15" s="330">
        <v>60</v>
      </c>
      <c r="I15" s="330">
        <f>92+1181</f>
        <v>1273</v>
      </c>
      <c r="J15" s="310">
        <f>H15/F15*100</f>
        <v>30.76923076923077</v>
      </c>
      <c r="K15" s="310">
        <f t="shared" si="3"/>
        <v>2121.6666666666665</v>
      </c>
      <c r="L15" s="636">
        <f t="shared" si="4"/>
        <v>2.342614232347583</v>
      </c>
    </row>
    <row r="16" spans="1:12" s="149" customFormat="1" ht="15.75">
      <c r="A16" s="321">
        <v>5</v>
      </c>
      <c r="B16" s="318" t="s">
        <v>639</v>
      </c>
      <c r="C16" s="316"/>
      <c r="D16" s="316"/>
      <c r="E16" s="316"/>
      <c r="F16" s="330"/>
      <c r="G16" s="337">
        <v>500</v>
      </c>
      <c r="H16" s="337">
        <v>820</v>
      </c>
      <c r="I16" s="337">
        <v>1900</v>
      </c>
      <c r="J16" s="310"/>
      <c r="K16" s="310"/>
      <c r="L16" s="636">
        <f t="shared" si="4"/>
        <v>3.496439152757586</v>
      </c>
    </row>
    <row r="17" spans="1:14" s="149" customFormat="1" ht="15.75">
      <c r="A17" s="305" t="s">
        <v>1080</v>
      </c>
      <c r="B17" s="318" t="s">
        <v>456</v>
      </c>
      <c r="C17" s="316">
        <v>4137.59</v>
      </c>
      <c r="D17" s="316">
        <v>4468.561</v>
      </c>
      <c r="E17" s="316">
        <v>4033.455</v>
      </c>
      <c r="F17" s="316">
        <v>4359.425</v>
      </c>
      <c r="G17" s="316">
        <v>5400</v>
      </c>
      <c r="H17" s="316">
        <v>5400</v>
      </c>
      <c r="I17" s="316">
        <v>6500</v>
      </c>
      <c r="J17" s="310">
        <f aca="true" t="shared" si="6" ref="J17:J28">H17/F17*100</f>
        <v>123.86954701594819</v>
      </c>
      <c r="K17" s="310">
        <f t="shared" si="3"/>
        <v>120.37037037037037</v>
      </c>
      <c r="L17" s="636">
        <f t="shared" si="4"/>
        <v>11.961502364697006</v>
      </c>
      <c r="M17" s="359">
        <f>H17/$H$6</f>
        <v>0.11840791350784322</v>
      </c>
      <c r="N17" s="788">
        <f>H17+H21+H24</f>
        <v>19400</v>
      </c>
    </row>
    <row r="18" spans="1:12" s="3" customFormat="1" ht="15.75" hidden="1">
      <c r="A18" s="331"/>
      <c r="B18" s="332" t="s">
        <v>457</v>
      </c>
      <c r="C18" s="333"/>
      <c r="D18" s="334">
        <v>1200</v>
      </c>
      <c r="E18" s="334">
        <v>1100</v>
      </c>
      <c r="F18" s="335">
        <v>1000</v>
      </c>
      <c r="G18" s="335">
        <v>1100</v>
      </c>
      <c r="H18" s="335">
        <v>1100</v>
      </c>
      <c r="I18" s="335">
        <v>1200</v>
      </c>
      <c r="J18" s="310">
        <f t="shared" si="6"/>
        <v>110.00000000000001</v>
      </c>
      <c r="K18" s="310"/>
      <c r="L18" s="636">
        <f t="shared" si="4"/>
        <v>2.2082773596363703</v>
      </c>
    </row>
    <row r="19" spans="1:12" s="3" customFormat="1" ht="15.75" hidden="1">
      <c r="A19" s="331"/>
      <c r="B19" s="332" t="s">
        <v>458</v>
      </c>
      <c r="C19" s="333"/>
      <c r="D19" s="334">
        <v>400</v>
      </c>
      <c r="E19" s="334">
        <v>450</v>
      </c>
      <c r="F19" s="335">
        <v>500</v>
      </c>
      <c r="G19" s="335">
        <v>550</v>
      </c>
      <c r="H19" s="335"/>
      <c r="I19" s="335"/>
      <c r="J19" s="310">
        <f t="shared" si="6"/>
        <v>0</v>
      </c>
      <c r="K19" s="310"/>
      <c r="L19" s="636">
        <f t="shared" si="4"/>
        <v>0</v>
      </c>
    </row>
    <row r="20" spans="1:12" s="3" customFormat="1" ht="15.75" hidden="1">
      <c r="A20" s="331"/>
      <c r="B20" s="332" t="s">
        <v>459</v>
      </c>
      <c r="C20" s="333">
        <f>C17-C18-C19</f>
        <v>4137.59</v>
      </c>
      <c r="D20" s="333">
        <f>D17-D18-D19</f>
        <v>2868.5609999999997</v>
      </c>
      <c r="E20" s="333">
        <f>E17-E18-E19</f>
        <v>2483.455</v>
      </c>
      <c r="F20" s="333">
        <f>F17-F18-F19</f>
        <v>2859.425</v>
      </c>
      <c r="G20" s="333">
        <f>G17-G18-G19</f>
        <v>3750</v>
      </c>
      <c r="H20" s="333"/>
      <c r="I20" s="333"/>
      <c r="J20" s="310">
        <f t="shared" si="6"/>
        <v>0</v>
      </c>
      <c r="K20" s="310"/>
      <c r="L20" s="636">
        <f t="shared" si="4"/>
        <v>0</v>
      </c>
    </row>
    <row r="21" spans="1:14" s="149" customFormat="1" ht="15.75">
      <c r="A21" s="305" t="s">
        <v>1121</v>
      </c>
      <c r="B21" s="318" t="s">
        <v>460</v>
      </c>
      <c r="C21" s="316">
        <v>976.049</v>
      </c>
      <c r="D21" s="316">
        <v>1126.1</v>
      </c>
      <c r="E21" s="316">
        <v>1023.85</v>
      </c>
      <c r="F21" s="316">
        <v>1140.902</v>
      </c>
      <c r="G21" s="316">
        <f>G22+G23</f>
        <v>1200</v>
      </c>
      <c r="H21" s="316">
        <v>1200</v>
      </c>
      <c r="I21" s="316">
        <v>1500</v>
      </c>
      <c r="J21" s="310">
        <f t="shared" si="6"/>
        <v>105.17993657649825</v>
      </c>
      <c r="K21" s="310">
        <f t="shared" si="3"/>
        <v>125</v>
      </c>
      <c r="L21" s="636">
        <f t="shared" si="4"/>
        <v>2.7603466995454626</v>
      </c>
      <c r="M21" s="359">
        <f>H21/$H$6</f>
        <v>0.026312869668409605</v>
      </c>
      <c r="N21" s="359">
        <f>N17/H6</f>
        <v>0.4253913929726219</v>
      </c>
    </row>
    <row r="22" spans="1:12" s="3" customFormat="1" ht="15.75" hidden="1">
      <c r="A22" s="331"/>
      <c r="B22" s="332" t="s">
        <v>461</v>
      </c>
      <c r="C22" s="333"/>
      <c r="D22" s="333">
        <v>700</v>
      </c>
      <c r="E22" s="333">
        <v>750</v>
      </c>
      <c r="F22" s="110">
        <v>500</v>
      </c>
      <c r="G22" s="110">
        <v>550</v>
      </c>
      <c r="H22" s="110">
        <v>550</v>
      </c>
      <c r="I22" s="110">
        <v>700</v>
      </c>
      <c r="J22" s="310">
        <f t="shared" si="6"/>
        <v>110.00000000000001</v>
      </c>
      <c r="K22" s="310">
        <f t="shared" si="3"/>
        <v>127.27272727272727</v>
      </c>
      <c r="L22" s="636">
        <f t="shared" si="4"/>
        <v>1.2881617931212161</v>
      </c>
    </row>
    <row r="23" spans="1:12" s="3" customFormat="1" ht="15.75" hidden="1">
      <c r="A23" s="331"/>
      <c r="B23" s="332" t="s">
        <v>462</v>
      </c>
      <c r="C23" s="333"/>
      <c r="D23" s="333">
        <v>878</v>
      </c>
      <c r="E23" s="333">
        <v>853</v>
      </c>
      <c r="F23" s="110">
        <v>600</v>
      </c>
      <c r="G23" s="110">
        <v>650</v>
      </c>
      <c r="H23" s="110">
        <v>650</v>
      </c>
      <c r="I23" s="110">
        <v>800</v>
      </c>
      <c r="J23" s="310">
        <f t="shared" si="6"/>
        <v>108.33333333333333</v>
      </c>
      <c r="K23" s="310">
        <f t="shared" si="3"/>
        <v>123.07692307692308</v>
      </c>
      <c r="L23" s="636">
        <f t="shared" si="4"/>
        <v>1.472184906424247</v>
      </c>
    </row>
    <row r="24" spans="1:13" ht="31.5">
      <c r="A24" s="305" t="s">
        <v>1139</v>
      </c>
      <c r="B24" s="318" t="s">
        <v>463</v>
      </c>
      <c r="C24" s="316">
        <v>7602.643</v>
      </c>
      <c r="D24" s="316">
        <v>8175.152</v>
      </c>
      <c r="E24" s="316">
        <v>9696.341</v>
      </c>
      <c r="F24" s="242">
        <v>11476.146</v>
      </c>
      <c r="G24" s="242">
        <v>12034</v>
      </c>
      <c r="H24" s="242">
        <v>12800</v>
      </c>
      <c r="I24" s="242">
        <v>13500</v>
      </c>
      <c r="J24" s="310">
        <f t="shared" si="6"/>
        <v>111.53570196823917</v>
      </c>
      <c r="K24" s="310">
        <f t="shared" si="3"/>
        <v>105.46875</v>
      </c>
      <c r="L24" s="636">
        <f t="shared" si="4"/>
        <v>24.843120295909166</v>
      </c>
      <c r="M24" s="359">
        <f>H24/$H$6</f>
        <v>0.2806706097963691</v>
      </c>
    </row>
    <row r="25" spans="1:12" ht="15.75">
      <c r="A25" s="305" t="s">
        <v>1177</v>
      </c>
      <c r="B25" s="318" t="s">
        <v>464</v>
      </c>
      <c r="C25" s="316">
        <f>663.251-C28</f>
        <v>531.251</v>
      </c>
      <c r="D25" s="316">
        <v>171</v>
      </c>
      <c r="E25" s="316"/>
      <c r="F25" s="336">
        <v>133</v>
      </c>
      <c r="G25" s="336"/>
      <c r="H25" s="336"/>
      <c r="I25" s="336"/>
      <c r="J25" s="310">
        <f t="shared" si="6"/>
        <v>0</v>
      </c>
      <c r="K25" s="310"/>
      <c r="L25" s="636">
        <f t="shared" si="4"/>
        <v>0</v>
      </c>
    </row>
    <row r="26" spans="1:13" s="149" customFormat="1" ht="15.75">
      <c r="A26" s="317" t="s">
        <v>1066</v>
      </c>
      <c r="B26" s="318" t="s">
        <v>465</v>
      </c>
      <c r="C26" s="316">
        <v>16489.567</v>
      </c>
      <c r="D26" s="316">
        <v>16844</v>
      </c>
      <c r="E26" s="316">
        <v>16969.88</v>
      </c>
      <c r="F26" s="337">
        <v>19181.187</v>
      </c>
      <c r="G26" s="337">
        <v>21000</v>
      </c>
      <c r="H26" s="337">
        <v>21000</v>
      </c>
      <c r="I26" s="337">
        <f>I27*22</f>
        <v>24200</v>
      </c>
      <c r="J26" s="310">
        <f t="shared" si="6"/>
        <v>109.48227552340737</v>
      </c>
      <c r="K26" s="310">
        <f t="shared" si="3"/>
        <v>115.23809523809523</v>
      </c>
      <c r="L26" s="636">
        <f t="shared" si="4"/>
        <v>44.533593419333464</v>
      </c>
      <c r="M26" s="359">
        <f>H26/$H$6</f>
        <v>0.46047521919716805</v>
      </c>
    </row>
    <row r="27" spans="1:13" ht="15.75">
      <c r="A27" s="338"/>
      <c r="B27" s="339" t="s">
        <v>466</v>
      </c>
      <c r="C27" s="340"/>
      <c r="D27" s="340">
        <f>D26/20.5</f>
        <v>821.6585365853658</v>
      </c>
      <c r="E27" s="340">
        <f>E26/21</f>
        <v>808.0895238095238</v>
      </c>
      <c r="F27" s="336">
        <v>950</v>
      </c>
      <c r="G27" s="341">
        <f>G26/21</f>
        <v>1000</v>
      </c>
      <c r="H27" s="341">
        <f>H26/21</f>
        <v>1000</v>
      </c>
      <c r="I27" s="341">
        <v>1100</v>
      </c>
      <c r="J27" s="310">
        <f t="shared" si="6"/>
        <v>105.26315789473684</v>
      </c>
      <c r="K27" s="310">
        <f t="shared" si="3"/>
        <v>110.00000000000001</v>
      </c>
      <c r="L27" s="636">
        <f t="shared" si="4"/>
        <v>2.0242542463333395</v>
      </c>
      <c r="M27" s="360"/>
    </row>
    <row r="28" spans="1:13" s="2" customFormat="1" ht="15.75">
      <c r="A28" s="342" t="s">
        <v>1095</v>
      </c>
      <c r="B28" s="343" t="s">
        <v>467</v>
      </c>
      <c r="C28" s="344">
        <v>132</v>
      </c>
      <c r="D28" s="344">
        <v>334</v>
      </c>
      <c r="E28" s="344">
        <v>400</v>
      </c>
      <c r="F28" s="106">
        <f>356</f>
        <v>356</v>
      </c>
      <c r="G28" s="106">
        <v>396</v>
      </c>
      <c r="H28" s="106">
        <v>400</v>
      </c>
      <c r="I28" s="106">
        <v>500</v>
      </c>
      <c r="J28" s="310">
        <f t="shared" si="6"/>
        <v>112.35955056179776</v>
      </c>
      <c r="K28" s="310">
        <f t="shared" si="3"/>
        <v>125</v>
      </c>
      <c r="L28" s="636">
        <f t="shared" si="4"/>
        <v>0.9201155665151542</v>
      </c>
      <c r="M28" s="359">
        <f>H28/$H$6</f>
        <v>0.008770956556136534</v>
      </c>
    </row>
    <row r="29" spans="1:12" s="134" customFormat="1" ht="15.75" hidden="1">
      <c r="A29" s="306"/>
      <c r="B29" s="307" t="s">
        <v>468</v>
      </c>
      <c r="C29" s="308" t="e">
        <f aca="true" t="shared" si="7" ref="C29:I29">C30+C31+C32</f>
        <v>#REF!</v>
      </c>
      <c r="D29" s="308" t="e">
        <f t="shared" si="7"/>
        <v>#REF!</v>
      </c>
      <c r="E29" s="308" t="e">
        <f t="shared" si="7"/>
        <v>#REF!</v>
      </c>
      <c r="F29" s="308">
        <f t="shared" si="7"/>
        <v>40205.86</v>
      </c>
      <c r="G29" s="308">
        <f t="shared" si="7"/>
        <v>44415.06</v>
      </c>
      <c r="H29" s="308">
        <f t="shared" si="7"/>
        <v>45605.06</v>
      </c>
      <c r="I29" s="308">
        <f t="shared" si="7"/>
        <v>54341</v>
      </c>
      <c r="J29" s="309"/>
      <c r="K29" s="310">
        <f t="shared" si="3"/>
        <v>119.15563755425384</v>
      </c>
      <c r="L29" s="636">
        <f t="shared" si="4"/>
        <v>100</v>
      </c>
    </row>
    <row r="30" spans="1:12" s="3" customFormat="1" ht="15.75" hidden="1">
      <c r="A30" s="109"/>
      <c r="B30" s="311" t="s">
        <v>469</v>
      </c>
      <c r="C30" s="312">
        <f aca="true" t="shared" si="8" ref="C30:I30">C18+C22</f>
        <v>0</v>
      </c>
      <c r="D30" s="312">
        <f t="shared" si="8"/>
        <v>1900</v>
      </c>
      <c r="E30" s="312">
        <f t="shared" si="8"/>
        <v>1850</v>
      </c>
      <c r="F30" s="312">
        <f t="shared" si="8"/>
        <v>1500</v>
      </c>
      <c r="G30" s="312">
        <f t="shared" si="8"/>
        <v>1650</v>
      </c>
      <c r="H30" s="312">
        <f t="shared" si="8"/>
        <v>1650</v>
      </c>
      <c r="I30" s="312">
        <f t="shared" si="8"/>
        <v>1900</v>
      </c>
      <c r="J30" s="312"/>
      <c r="K30" s="110"/>
      <c r="L30" s="636">
        <f t="shared" si="4"/>
        <v>3.496439152757586</v>
      </c>
    </row>
    <row r="31" spans="1:12" s="3" customFormat="1" ht="15.75" hidden="1">
      <c r="A31" s="109"/>
      <c r="B31" s="311" t="s">
        <v>470</v>
      </c>
      <c r="C31" s="312" t="e">
        <f aca="true" t="shared" si="9" ref="C31:I31">C7-C30+C28</f>
        <v>#REF!</v>
      </c>
      <c r="D31" s="312" t="e">
        <f t="shared" si="9"/>
        <v>#REF!</v>
      </c>
      <c r="E31" s="312" t="e">
        <f t="shared" si="9"/>
        <v>#REF!</v>
      </c>
      <c r="F31" s="312">
        <f t="shared" si="9"/>
        <v>19524.673000000003</v>
      </c>
      <c r="G31" s="312">
        <f t="shared" si="9"/>
        <v>21765.059999999998</v>
      </c>
      <c r="H31" s="312">
        <f t="shared" si="9"/>
        <v>22955.059999999998</v>
      </c>
      <c r="I31" s="312">
        <f t="shared" si="9"/>
        <v>28241</v>
      </c>
      <c r="J31" s="312">
        <v>2012</v>
      </c>
      <c r="K31" s="110">
        <v>2013</v>
      </c>
      <c r="L31" s="636">
        <f t="shared" si="4"/>
        <v>51.96996742790895</v>
      </c>
    </row>
    <row r="32" spans="1:12" s="3" customFormat="1" ht="15.75" hidden="1">
      <c r="A32" s="109"/>
      <c r="B32" s="311" t="s">
        <v>471</v>
      </c>
      <c r="C32" s="312">
        <f aca="true" t="shared" si="10" ref="C32:I32">C26</f>
        <v>16489.567</v>
      </c>
      <c r="D32" s="312">
        <f t="shared" si="10"/>
        <v>16844</v>
      </c>
      <c r="E32" s="312">
        <f t="shared" si="10"/>
        <v>16969.88</v>
      </c>
      <c r="F32" s="312">
        <f t="shared" si="10"/>
        <v>19181.187</v>
      </c>
      <c r="G32" s="312">
        <f t="shared" si="10"/>
        <v>21000</v>
      </c>
      <c r="H32" s="312">
        <f t="shared" si="10"/>
        <v>21000</v>
      </c>
      <c r="I32" s="312">
        <f t="shared" si="10"/>
        <v>24200</v>
      </c>
      <c r="J32" s="313" t="e">
        <f>E32/E29</f>
        <v>#REF!</v>
      </c>
      <c r="K32" s="313">
        <f>F32/F29</f>
        <v>0.4770744115410043</v>
      </c>
      <c r="L32" s="636">
        <f t="shared" si="4"/>
        <v>44.533593419333464</v>
      </c>
    </row>
    <row r="33" ht="15.75">
      <c r="D33" s="150"/>
    </row>
  </sheetData>
  <sheetProtection/>
  <mergeCells count="11">
    <mergeCell ref="I4:I5"/>
    <mergeCell ref="G4:H4"/>
    <mergeCell ref="J4:K4"/>
    <mergeCell ref="E4:E5"/>
    <mergeCell ref="F4:F5"/>
    <mergeCell ref="A1:B1"/>
    <mergeCell ref="A2:K2"/>
    <mergeCell ref="A4:A5"/>
    <mergeCell ref="B4:B5"/>
    <mergeCell ref="C4:C5"/>
    <mergeCell ref="D4:D5"/>
  </mergeCells>
  <printOptions horizontalCentered="1"/>
  <pageMargins left="0.36" right="0.34" top="0.8" bottom="0.52" header="0.5" footer="0.31"/>
  <pageSetup horizontalDpi="300" verticalDpi="300" orientation="landscape" paperSize="9"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dimension ref="A1:H49"/>
  <sheetViews>
    <sheetView zoomScale="85" zoomScaleNormal="85" zoomScalePageLayoutView="0" workbookViewId="0" topLeftCell="A9">
      <selection activeCell="G9" sqref="G9"/>
    </sheetView>
  </sheetViews>
  <sheetFormatPr defaultColWidth="9.00390625" defaultRowHeight="15.75"/>
  <cols>
    <col min="1" max="1" width="5.00390625" style="248" customWidth="1"/>
    <col min="2" max="2" width="29.00390625" style="249" customWidth="1"/>
    <col min="3" max="6" width="11.125" style="248" customWidth="1"/>
    <col min="7" max="7" width="14.25390625" style="248" bestFit="1" customWidth="1"/>
    <col min="8" max="16384" width="9.00390625" style="248" customWidth="1"/>
  </cols>
  <sheetData>
    <row r="1" spans="1:6" ht="39" customHeight="1">
      <c r="A1" s="935" t="s">
        <v>441</v>
      </c>
      <c r="B1" s="935"/>
      <c r="C1" s="935"/>
      <c r="D1" s="935"/>
      <c r="E1" s="935"/>
      <c r="F1" s="935"/>
    </row>
    <row r="2" spans="1:7" ht="33">
      <c r="A2" s="243" t="s">
        <v>1035</v>
      </c>
      <c r="B2" s="243" t="s">
        <v>1036</v>
      </c>
      <c r="C2" s="243" t="s">
        <v>374</v>
      </c>
      <c r="D2" s="243" t="s">
        <v>378</v>
      </c>
      <c r="E2" s="243" t="s">
        <v>379</v>
      </c>
      <c r="F2" s="243" t="s">
        <v>380</v>
      </c>
      <c r="G2" s="243" t="s">
        <v>1208</v>
      </c>
    </row>
    <row r="3" spans="1:7" ht="33">
      <c r="A3" s="936">
        <v>1</v>
      </c>
      <c r="B3" s="247" t="s">
        <v>381</v>
      </c>
      <c r="C3" s="244" t="s">
        <v>1040</v>
      </c>
      <c r="D3" s="245" t="s">
        <v>439</v>
      </c>
      <c r="E3" s="301">
        <f>'1. Chi tieu KT'!L8-100</f>
        <v>11.554903735139007</v>
      </c>
      <c r="F3" s="244" t="s">
        <v>497</v>
      </c>
      <c r="G3" s="302">
        <f>'1. Chi tieu KT'!M8-100</f>
        <v>11.67832167832168</v>
      </c>
    </row>
    <row r="4" spans="1:7" ht="33">
      <c r="A4" s="936"/>
      <c r="B4" s="247" t="s">
        <v>382</v>
      </c>
      <c r="C4" s="244" t="s">
        <v>1040</v>
      </c>
      <c r="D4" s="244" t="s">
        <v>383</v>
      </c>
      <c r="E4" s="301">
        <f>'1. Chi tieu KT'!L13-100</f>
        <v>11.116369475833835</v>
      </c>
      <c r="F4" s="244" t="s">
        <v>497</v>
      </c>
      <c r="G4" s="303">
        <f>'1. Chi tieu KT'!M13-100</f>
        <v>11.304362581236333</v>
      </c>
    </row>
    <row r="5" spans="1:7" ht="16.5">
      <c r="A5" s="937">
        <v>2</v>
      </c>
      <c r="B5" s="934" t="s">
        <v>384</v>
      </c>
      <c r="C5" s="244" t="s">
        <v>385</v>
      </c>
      <c r="D5" s="244" t="s">
        <v>386</v>
      </c>
      <c r="E5" s="301">
        <f>'1. Chi tieu KT'!J23</f>
        <v>57.446892181589575</v>
      </c>
      <c r="F5" s="244" t="s">
        <v>497</v>
      </c>
      <c r="G5" s="302">
        <f>'1. Chi tieu KT'!K23</f>
        <v>64.39518900343643</v>
      </c>
    </row>
    <row r="6" spans="1:7" ht="18.75" customHeight="1">
      <c r="A6" s="938"/>
      <c r="B6" s="934"/>
      <c r="C6" s="244" t="s">
        <v>500</v>
      </c>
      <c r="D6" s="244" t="s">
        <v>387</v>
      </c>
      <c r="E6" s="246">
        <f>E5/21.2*1000</f>
        <v>2709.75906516932</v>
      </c>
      <c r="F6" s="244" t="s">
        <v>497</v>
      </c>
      <c r="G6" s="304">
        <f>G5/21.5*1000</f>
        <v>2995.125069927276</v>
      </c>
    </row>
    <row r="7" spans="1:6" ht="18.75" customHeight="1">
      <c r="A7" s="244">
        <v>3</v>
      </c>
      <c r="B7" s="247" t="s">
        <v>388</v>
      </c>
      <c r="C7" s="244"/>
      <c r="D7" s="244"/>
      <c r="E7" s="244"/>
      <c r="F7" s="244"/>
    </row>
    <row r="8" spans="1:7" ht="16.5">
      <c r="A8" s="936">
        <v>4</v>
      </c>
      <c r="B8" s="247" t="s">
        <v>389</v>
      </c>
      <c r="C8" s="244" t="s">
        <v>1040</v>
      </c>
      <c r="D8" s="244" t="s">
        <v>513</v>
      </c>
      <c r="E8" s="301">
        <f>'1. Chi tieu KT'!J25</f>
        <v>56.93432007400555</v>
      </c>
      <c r="F8" s="244" t="s">
        <v>497</v>
      </c>
      <c r="G8" s="303">
        <f>'1. Chi tieu KT'!K25</f>
        <v>56.65190244943701</v>
      </c>
    </row>
    <row r="9" spans="1:7" ht="16.5">
      <c r="A9" s="936"/>
      <c r="B9" s="247" t="s">
        <v>498</v>
      </c>
      <c r="C9" s="244" t="s">
        <v>1040</v>
      </c>
      <c r="D9" s="244" t="s">
        <v>390</v>
      </c>
      <c r="E9" s="301">
        <f>'1. Chi tieu KT'!J26</f>
        <v>37.10946654332408</v>
      </c>
      <c r="F9" s="244" t="s">
        <v>497</v>
      </c>
      <c r="G9" s="303">
        <f>'1. Chi tieu KT'!K26</f>
        <v>37.72880089652596</v>
      </c>
    </row>
    <row r="10" spans="1:7" ht="16.5">
      <c r="A10" s="936"/>
      <c r="B10" s="247" t="s">
        <v>391</v>
      </c>
      <c r="C10" s="244" t="s">
        <v>1040</v>
      </c>
      <c r="D10" s="245" t="s">
        <v>517</v>
      </c>
      <c r="E10" s="301">
        <f>'1. Chi tieu KT'!J27</f>
        <v>5.9562133826703665</v>
      </c>
      <c r="F10" s="244" t="s">
        <v>497</v>
      </c>
      <c r="G10" s="303">
        <f>'1. Chi tieu KT'!K27</f>
        <v>5.619296654037035</v>
      </c>
    </row>
    <row r="11" spans="1:7" ht="16.5">
      <c r="A11" s="936">
        <v>5</v>
      </c>
      <c r="B11" s="247" t="s">
        <v>392</v>
      </c>
      <c r="C11" s="244" t="s">
        <v>1040</v>
      </c>
      <c r="D11" s="244" t="s">
        <v>393</v>
      </c>
      <c r="E11" s="301">
        <f>'2. CN NN DV'!L68-100</f>
        <v>14.023484782310305</v>
      </c>
      <c r="F11" s="244" t="s">
        <v>497</v>
      </c>
      <c r="G11" s="303">
        <f>'2. CN NN DV'!M68-100</f>
        <v>13.99726402188783</v>
      </c>
    </row>
    <row r="12" spans="1:7" ht="16.5">
      <c r="A12" s="936"/>
      <c r="B12" s="829" t="s">
        <v>394</v>
      </c>
      <c r="C12" s="830" t="s">
        <v>1040</v>
      </c>
      <c r="D12" s="830" t="s">
        <v>395</v>
      </c>
      <c r="E12" s="831">
        <f>'2. CN NN DV'!L69-100</f>
        <v>13.399999999999991</v>
      </c>
      <c r="F12" s="830" t="s">
        <v>497</v>
      </c>
      <c r="G12" s="303">
        <f>'2. CN NN DV'!M69-100</f>
        <v>13.539401930220563</v>
      </c>
    </row>
    <row r="13" spans="1:6" ht="33">
      <c r="A13" s="936">
        <v>6</v>
      </c>
      <c r="B13" s="829" t="s">
        <v>396</v>
      </c>
      <c r="C13" s="830" t="s">
        <v>1040</v>
      </c>
      <c r="D13" s="830" t="s">
        <v>397</v>
      </c>
      <c r="E13" s="831">
        <f>'1. Chi tieu KT'!L11-100</f>
        <v>14.192981672547546</v>
      </c>
      <c r="F13" s="830" t="s">
        <v>497</v>
      </c>
    </row>
    <row r="14" spans="1:6" ht="33">
      <c r="A14" s="936"/>
      <c r="B14" s="829" t="s">
        <v>398</v>
      </c>
      <c r="C14" s="830" t="s">
        <v>1040</v>
      </c>
      <c r="D14" s="830" t="s">
        <v>399</v>
      </c>
      <c r="E14" s="832">
        <f>'1. Chi tieu KT'!L16-100</f>
        <v>12.696337193152658</v>
      </c>
      <c r="F14" s="830" t="s">
        <v>497</v>
      </c>
    </row>
    <row r="15" spans="1:6" ht="33">
      <c r="A15" s="936">
        <v>7</v>
      </c>
      <c r="B15" s="247" t="s">
        <v>400</v>
      </c>
      <c r="C15" s="244" t="s">
        <v>1040</v>
      </c>
      <c r="D15" s="244" t="s">
        <v>401</v>
      </c>
      <c r="E15" s="301">
        <f>'2. CN NN DV'!L10*100-100</f>
        <v>4.425098109973376</v>
      </c>
      <c r="F15" s="244" t="s">
        <v>497</v>
      </c>
    </row>
    <row r="16" spans="1:6" ht="33">
      <c r="A16" s="936"/>
      <c r="B16" s="247" t="s">
        <v>402</v>
      </c>
      <c r="C16" s="244" t="s">
        <v>1040</v>
      </c>
      <c r="D16" s="244" t="s">
        <v>403</v>
      </c>
      <c r="E16" s="301">
        <f>'2. CN NN DV'!L11*100-100</f>
        <v>3.631804885461378</v>
      </c>
      <c r="F16" s="244" t="s">
        <v>497</v>
      </c>
    </row>
    <row r="17" spans="1:6" ht="33">
      <c r="A17" s="936">
        <v>8</v>
      </c>
      <c r="B17" s="934" t="s">
        <v>520</v>
      </c>
      <c r="C17" s="244" t="s">
        <v>404</v>
      </c>
      <c r="D17" s="244" t="s">
        <v>405</v>
      </c>
      <c r="E17" s="301">
        <f>'9.DTPT'!H6/1000</f>
        <v>45.605059999999995</v>
      </c>
      <c r="F17" s="244" t="s">
        <v>497</v>
      </c>
    </row>
    <row r="18" spans="1:7" ht="16.5">
      <c r="A18" s="936"/>
      <c r="B18" s="934"/>
      <c r="C18" s="244" t="s">
        <v>406</v>
      </c>
      <c r="D18" s="244" t="s">
        <v>407</v>
      </c>
      <c r="E18" s="301">
        <f>'9.DTPT'!H6/'1. Chi tieu KT'!J18*100</f>
        <v>28.12522972556275</v>
      </c>
      <c r="F18" s="244" t="s">
        <v>497</v>
      </c>
      <c r="G18" s="248" t="s">
        <v>1242</v>
      </c>
    </row>
    <row r="19" spans="1:8" ht="16.5">
      <c r="A19" s="244">
        <v>9</v>
      </c>
      <c r="B19" s="247" t="s">
        <v>408</v>
      </c>
      <c r="C19" s="244" t="s">
        <v>1051</v>
      </c>
      <c r="D19" s="244" t="s">
        <v>409</v>
      </c>
      <c r="E19" s="786">
        <v>1250</v>
      </c>
      <c r="F19" s="787" t="s">
        <v>528</v>
      </c>
      <c r="G19" s="786">
        <f>0.7*20000</f>
        <v>14000</v>
      </c>
      <c r="H19" s="786">
        <f>0.9*20000</f>
        <v>18000</v>
      </c>
    </row>
    <row r="20" spans="1:6" ht="33">
      <c r="A20" s="244">
        <v>10</v>
      </c>
      <c r="B20" s="247" t="s">
        <v>410</v>
      </c>
      <c r="C20" s="244" t="s">
        <v>1038</v>
      </c>
      <c r="D20" s="244" t="s">
        <v>411</v>
      </c>
      <c r="E20" s="786">
        <v>9000</v>
      </c>
      <c r="F20" s="787" t="s">
        <v>528</v>
      </c>
    </row>
    <row r="21" spans="1:6" ht="33">
      <c r="A21" s="244">
        <v>11</v>
      </c>
      <c r="B21" s="247" t="s">
        <v>412</v>
      </c>
      <c r="C21" s="244" t="s">
        <v>1038</v>
      </c>
      <c r="D21" s="244" t="s">
        <v>413</v>
      </c>
      <c r="E21" s="786">
        <v>16000</v>
      </c>
      <c r="F21" s="787" t="s">
        <v>528</v>
      </c>
    </row>
    <row r="22" spans="1:6" ht="33">
      <c r="A22" s="244">
        <v>12</v>
      </c>
      <c r="B22" s="247" t="s">
        <v>414</v>
      </c>
      <c r="C22" s="244" t="s">
        <v>1040</v>
      </c>
      <c r="D22" s="245" t="s">
        <v>440</v>
      </c>
      <c r="E22" s="301">
        <f>'2. CN NN DV'!L122*100-100</f>
        <v>13.898305084745772</v>
      </c>
      <c r="F22" s="787" t="s">
        <v>528</v>
      </c>
    </row>
    <row r="23" spans="1:6" ht="16.5">
      <c r="A23" s="244">
        <v>13</v>
      </c>
      <c r="B23" s="247" t="s">
        <v>415</v>
      </c>
      <c r="C23" s="244" t="s">
        <v>1038</v>
      </c>
      <c r="D23" s="246">
        <v>35116</v>
      </c>
      <c r="E23" s="246">
        <f>'1. Chi tieu KT'!J50</f>
        <v>35501</v>
      </c>
      <c r="F23" s="244" t="s">
        <v>497</v>
      </c>
    </row>
    <row r="24" spans="1:6" ht="16.5">
      <c r="A24" s="244">
        <v>14</v>
      </c>
      <c r="B24" s="247" t="s">
        <v>532</v>
      </c>
      <c r="C24" s="244" t="s">
        <v>1040</v>
      </c>
      <c r="D24" s="244" t="s">
        <v>533</v>
      </c>
      <c r="E24" s="244" t="s">
        <v>533</v>
      </c>
      <c r="F24" s="244" t="s">
        <v>497</v>
      </c>
    </row>
    <row r="25" spans="1:6" ht="33">
      <c r="A25" s="244">
        <v>15</v>
      </c>
      <c r="B25" s="247" t="s">
        <v>416</v>
      </c>
      <c r="C25" s="244" t="s">
        <v>1040</v>
      </c>
      <c r="D25" s="244">
        <v>2.5</v>
      </c>
      <c r="E25" s="244">
        <v>2.5</v>
      </c>
      <c r="F25" s="244" t="s">
        <v>497</v>
      </c>
    </row>
    <row r="26" spans="1:6" ht="33">
      <c r="A26" s="244">
        <v>16</v>
      </c>
      <c r="B26" s="247" t="s">
        <v>417</v>
      </c>
      <c r="C26" s="244" t="s">
        <v>368</v>
      </c>
      <c r="D26" s="244">
        <v>280</v>
      </c>
      <c r="E26" s="244">
        <v>280</v>
      </c>
      <c r="F26" s="244" t="s">
        <v>497</v>
      </c>
    </row>
    <row r="27" spans="1:6" ht="16.5">
      <c r="A27" s="244">
        <v>17</v>
      </c>
      <c r="B27" s="247" t="s">
        <v>418</v>
      </c>
      <c r="C27" s="244" t="s">
        <v>1076</v>
      </c>
      <c r="D27" s="244">
        <v>6.7</v>
      </c>
      <c r="E27" s="244">
        <v>6.7</v>
      </c>
      <c r="F27" s="244" t="s">
        <v>497</v>
      </c>
    </row>
    <row r="28" spans="1:6" ht="16.5">
      <c r="A28" s="244">
        <v>18</v>
      </c>
      <c r="B28" s="247" t="s">
        <v>541</v>
      </c>
      <c r="C28" s="244" t="s">
        <v>1075</v>
      </c>
      <c r="D28" s="244">
        <v>24.5</v>
      </c>
      <c r="E28" s="244">
        <v>24.5</v>
      </c>
      <c r="F28" s="244" t="s">
        <v>497</v>
      </c>
    </row>
    <row r="29" spans="1:6" ht="33">
      <c r="A29" s="244">
        <v>19</v>
      </c>
      <c r="B29" s="247" t="s">
        <v>419</v>
      </c>
      <c r="C29" s="244" t="s">
        <v>1040</v>
      </c>
      <c r="D29" s="244">
        <v>97</v>
      </c>
      <c r="E29" s="244">
        <v>97</v>
      </c>
      <c r="F29" s="244" t="s">
        <v>497</v>
      </c>
    </row>
    <row r="30" spans="1:6" ht="33">
      <c r="A30" s="244">
        <v>20</v>
      </c>
      <c r="B30" s="247" t="s">
        <v>420</v>
      </c>
      <c r="C30" s="244" t="s">
        <v>1040</v>
      </c>
      <c r="D30" s="244">
        <v>60</v>
      </c>
      <c r="E30" s="244">
        <v>60</v>
      </c>
      <c r="F30" s="244" t="s">
        <v>497</v>
      </c>
    </row>
    <row r="31" spans="1:6" ht="33">
      <c r="A31" s="244">
        <v>21</v>
      </c>
      <c r="B31" s="247" t="s">
        <v>421</v>
      </c>
      <c r="C31" s="244" t="s">
        <v>1040</v>
      </c>
      <c r="D31" s="244">
        <v>10.6</v>
      </c>
      <c r="E31" s="244">
        <v>10.6</v>
      </c>
      <c r="F31" s="244" t="s">
        <v>497</v>
      </c>
    </row>
    <row r="32" spans="1:6" ht="33">
      <c r="A32" s="244">
        <v>22</v>
      </c>
      <c r="B32" s="247" t="s">
        <v>422</v>
      </c>
      <c r="C32" s="244" t="s">
        <v>1040</v>
      </c>
      <c r="D32" s="244">
        <v>26</v>
      </c>
      <c r="E32" s="244">
        <v>26</v>
      </c>
      <c r="F32" s="244" t="s">
        <v>497</v>
      </c>
    </row>
    <row r="33" spans="1:6" ht="16.5">
      <c r="A33" s="244">
        <v>23</v>
      </c>
      <c r="B33" s="247" t="s">
        <v>423</v>
      </c>
      <c r="C33" s="244" t="s">
        <v>424</v>
      </c>
      <c r="D33" s="246">
        <v>90000</v>
      </c>
      <c r="E33" s="246">
        <v>90000</v>
      </c>
      <c r="F33" s="244" t="s">
        <v>497</v>
      </c>
    </row>
    <row r="34" spans="1:6" ht="16.5">
      <c r="A34" s="244">
        <v>24</v>
      </c>
      <c r="B34" s="247" t="s">
        <v>555</v>
      </c>
      <c r="C34" s="244" t="s">
        <v>1040</v>
      </c>
      <c r="D34" s="244">
        <v>62</v>
      </c>
      <c r="E34" s="244">
        <v>62</v>
      </c>
      <c r="F34" s="244" t="s">
        <v>497</v>
      </c>
    </row>
    <row r="35" spans="1:6" ht="16.5">
      <c r="A35" s="244">
        <v>25</v>
      </c>
      <c r="B35" s="247" t="s">
        <v>425</v>
      </c>
      <c r="C35" s="244" t="s">
        <v>1040</v>
      </c>
      <c r="D35" s="244">
        <v>48</v>
      </c>
      <c r="E35" s="244">
        <v>48</v>
      </c>
      <c r="F35" s="244" t="s">
        <v>497</v>
      </c>
    </row>
    <row r="36" spans="1:6" ht="16.5">
      <c r="A36" s="244">
        <v>26</v>
      </c>
      <c r="B36" s="247" t="s">
        <v>426</v>
      </c>
      <c r="C36" s="244" t="s">
        <v>1040</v>
      </c>
      <c r="D36" s="244" t="s">
        <v>585</v>
      </c>
      <c r="E36" s="244" t="s">
        <v>585</v>
      </c>
      <c r="F36" s="244" t="s">
        <v>497</v>
      </c>
    </row>
    <row r="37" spans="1:6" ht="16.5">
      <c r="A37" s="244">
        <v>27</v>
      </c>
      <c r="B37" s="247" t="s">
        <v>427</v>
      </c>
      <c r="C37" s="244" t="s">
        <v>1040</v>
      </c>
      <c r="D37" s="244">
        <v>88.8</v>
      </c>
      <c r="E37" s="244">
        <v>88.8</v>
      </c>
      <c r="F37" s="244" t="s">
        <v>497</v>
      </c>
    </row>
    <row r="38" spans="1:6" ht="16.5">
      <c r="A38" s="244">
        <v>28</v>
      </c>
      <c r="B38" s="247" t="s">
        <v>428</v>
      </c>
      <c r="C38" s="244" t="s">
        <v>1040</v>
      </c>
      <c r="D38" s="244">
        <v>97</v>
      </c>
      <c r="E38" s="244">
        <v>97</v>
      </c>
      <c r="F38" s="244" t="s">
        <v>497</v>
      </c>
    </row>
    <row r="39" spans="1:6" ht="33">
      <c r="A39" s="244">
        <v>29</v>
      </c>
      <c r="B39" s="247" t="s">
        <v>429</v>
      </c>
      <c r="C39" s="244" t="s">
        <v>1040</v>
      </c>
      <c r="D39" s="244">
        <v>97</v>
      </c>
      <c r="E39" s="244">
        <v>97</v>
      </c>
      <c r="F39" s="244" t="s">
        <v>497</v>
      </c>
    </row>
    <row r="40" spans="1:6" ht="16.5">
      <c r="A40" s="244">
        <v>30</v>
      </c>
      <c r="B40" s="247" t="s">
        <v>589</v>
      </c>
      <c r="C40" s="244" t="s">
        <v>1040</v>
      </c>
      <c r="D40" s="244">
        <v>99.6</v>
      </c>
      <c r="E40" s="244">
        <v>99.6</v>
      </c>
      <c r="F40" s="244" t="s">
        <v>497</v>
      </c>
    </row>
    <row r="41" spans="1:6" ht="33">
      <c r="A41" s="244">
        <v>31</v>
      </c>
      <c r="B41" s="247" t="s">
        <v>430</v>
      </c>
      <c r="C41" s="244" t="s">
        <v>1040</v>
      </c>
      <c r="D41" s="244">
        <v>98.6</v>
      </c>
      <c r="E41" s="244">
        <v>98.6</v>
      </c>
      <c r="F41" s="244" t="s">
        <v>497</v>
      </c>
    </row>
    <row r="42" spans="1:6" ht="33">
      <c r="A42" s="244">
        <v>32</v>
      </c>
      <c r="B42" s="247" t="s">
        <v>431</v>
      </c>
      <c r="C42" s="244" t="s">
        <v>1040</v>
      </c>
      <c r="D42" s="244">
        <v>94.4</v>
      </c>
      <c r="E42" s="244">
        <v>94.4</v>
      </c>
      <c r="F42" s="244" t="s">
        <v>497</v>
      </c>
    </row>
    <row r="43" spans="1:6" ht="16.5">
      <c r="A43" s="244">
        <v>33</v>
      </c>
      <c r="B43" s="247" t="s">
        <v>432</v>
      </c>
      <c r="C43" s="244" t="s">
        <v>1040</v>
      </c>
      <c r="D43" s="244">
        <v>100</v>
      </c>
      <c r="E43" s="244">
        <v>100</v>
      </c>
      <c r="F43" s="244" t="s">
        <v>497</v>
      </c>
    </row>
    <row r="44" spans="1:6" ht="49.5">
      <c r="A44" s="244">
        <v>34</v>
      </c>
      <c r="B44" s="247" t="s">
        <v>433</v>
      </c>
      <c r="C44" s="244" t="s">
        <v>1040</v>
      </c>
      <c r="D44" s="244">
        <v>95</v>
      </c>
      <c r="E44" s="244">
        <v>95</v>
      </c>
      <c r="F44" s="244" t="s">
        <v>497</v>
      </c>
    </row>
    <row r="45" spans="1:6" ht="49.5">
      <c r="A45" s="244">
        <v>35</v>
      </c>
      <c r="B45" s="247" t="s">
        <v>434</v>
      </c>
      <c r="C45" s="244" t="s">
        <v>1040</v>
      </c>
      <c r="D45" s="244" t="s">
        <v>435</v>
      </c>
      <c r="E45" s="244" t="s">
        <v>435</v>
      </c>
      <c r="F45" s="244" t="s">
        <v>497</v>
      </c>
    </row>
    <row r="46" spans="1:6" ht="49.5">
      <c r="A46" s="244">
        <v>36</v>
      </c>
      <c r="B46" s="247" t="s">
        <v>436</v>
      </c>
      <c r="C46" s="244" t="s">
        <v>1040</v>
      </c>
      <c r="D46" s="244">
        <v>100</v>
      </c>
      <c r="E46" s="244">
        <v>100</v>
      </c>
      <c r="F46" s="244" t="s">
        <v>497</v>
      </c>
    </row>
    <row r="47" spans="1:6" ht="49.5">
      <c r="A47" s="244">
        <v>37</v>
      </c>
      <c r="B47" s="247" t="s">
        <v>437</v>
      </c>
      <c r="C47" s="244" t="s">
        <v>1040</v>
      </c>
      <c r="D47" s="244">
        <v>100</v>
      </c>
      <c r="E47" s="244">
        <v>100</v>
      </c>
      <c r="F47" s="244" t="s">
        <v>497</v>
      </c>
    </row>
    <row r="48" spans="1:6" ht="16.5">
      <c r="A48" s="244">
        <v>38</v>
      </c>
      <c r="B48" s="247" t="s">
        <v>598</v>
      </c>
      <c r="C48" s="244" t="s">
        <v>1040</v>
      </c>
      <c r="D48" s="244">
        <v>56</v>
      </c>
      <c r="E48" s="244">
        <v>56</v>
      </c>
      <c r="F48" s="244" t="s">
        <v>497</v>
      </c>
    </row>
    <row r="49" spans="1:6" ht="16.5">
      <c r="A49" s="244">
        <v>39</v>
      </c>
      <c r="B49" s="247" t="s">
        <v>438</v>
      </c>
      <c r="C49" s="244" t="s">
        <v>1040</v>
      </c>
      <c r="D49" s="244">
        <v>29.76</v>
      </c>
      <c r="E49" s="244">
        <v>29.76</v>
      </c>
      <c r="F49" s="244" t="s">
        <v>497</v>
      </c>
    </row>
  </sheetData>
  <sheetProtection/>
  <mergeCells count="10">
    <mergeCell ref="B17:B18"/>
    <mergeCell ref="A1:F1"/>
    <mergeCell ref="A11:A12"/>
    <mergeCell ref="A13:A14"/>
    <mergeCell ref="A15:A16"/>
    <mergeCell ref="A17:A18"/>
    <mergeCell ref="A3:A4"/>
    <mergeCell ref="A5:A6"/>
    <mergeCell ref="B5:B6"/>
    <mergeCell ref="A8:A10"/>
  </mergeCells>
  <printOptions horizontalCentered="1"/>
  <pageMargins left="0.46" right="0.46" top="0.51" bottom="0.43" header="0.39" footer="0.2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51"/>
  <sheetViews>
    <sheetView zoomScalePageLayoutView="0" workbookViewId="0" topLeftCell="A1">
      <selection activeCell="D11" sqref="D11"/>
    </sheetView>
  </sheetViews>
  <sheetFormatPr defaultColWidth="9.00390625" defaultRowHeight="15.75"/>
  <cols>
    <col min="1" max="1" width="3.625" style="0" bestFit="1" customWidth="1"/>
    <col min="2" max="2" width="41.00390625" style="0" customWidth="1"/>
    <col min="3" max="3" width="16.00390625" style="0" customWidth="1"/>
    <col min="4" max="4" width="19.00390625" style="0" customWidth="1"/>
    <col min="5" max="5" width="16.375" style="0" customWidth="1"/>
    <col min="6" max="6" width="17.50390625" style="0" customWidth="1"/>
  </cols>
  <sheetData>
    <row r="1" spans="1:2" ht="18.75">
      <c r="A1" s="939" t="s">
        <v>636</v>
      </c>
      <c r="B1" s="939"/>
    </row>
    <row r="2" spans="1:6" ht="18.75">
      <c r="A2" s="944" t="s">
        <v>637</v>
      </c>
      <c r="B2" s="944"/>
      <c r="C2" s="944"/>
      <c r="D2" s="944"/>
      <c r="E2" s="944"/>
      <c r="F2" s="944"/>
    </row>
    <row r="3" spans="1:6" ht="49.5">
      <c r="A3" s="762" t="s">
        <v>1035</v>
      </c>
      <c r="B3" s="762" t="s">
        <v>1036</v>
      </c>
      <c r="C3" s="762" t="s">
        <v>374</v>
      </c>
      <c r="D3" s="762" t="s">
        <v>608</v>
      </c>
      <c r="E3" s="762" t="s">
        <v>609</v>
      </c>
      <c r="F3" s="762" t="s">
        <v>840</v>
      </c>
    </row>
    <row r="4" spans="1:6" ht="16.5">
      <c r="A4" s="941" t="s">
        <v>488</v>
      </c>
      <c r="B4" s="942"/>
      <c r="C4" s="763"/>
      <c r="D4" s="763"/>
      <c r="E4" s="763"/>
      <c r="F4" s="93"/>
    </row>
    <row r="5" spans="1:6" ht="16.5">
      <c r="A5" s="768">
        <v>1</v>
      </c>
      <c r="B5" s="768" t="s">
        <v>610</v>
      </c>
      <c r="C5" s="763" t="s">
        <v>1040</v>
      </c>
      <c r="D5" s="764" t="s">
        <v>439</v>
      </c>
      <c r="E5" s="769">
        <f>'1. Chi tieu KT'!L8-100</f>
        <v>11.554903735139007</v>
      </c>
      <c r="F5" s="93" t="s">
        <v>497</v>
      </c>
    </row>
    <row r="6" spans="1:6" ht="16.5">
      <c r="A6" s="940">
        <v>2</v>
      </c>
      <c r="B6" s="940" t="s">
        <v>611</v>
      </c>
      <c r="C6" s="763" t="s">
        <v>154</v>
      </c>
      <c r="D6" s="763" t="s">
        <v>513</v>
      </c>
      <c r="E6" s="769">
        <f>'1. Chi tieu KT'!J23</f>
        <v>57.446892181589575</v>
      </c>
      <c r="F6" s="93" t="s">
        <v>497</v>
      </c>
    </row>
    <row r="7" spans="1:6" ht="16.5">
      <c r="A7" s="940"/>
      <c r="B7" s="940"/>
      <c r="C7" s="763" t="s">
        <v>500</v>
      </c>
      <c r="D7" s="763" t="s">
        <v>387</v>
      </c>
      <c r="E7" s="772">
        <f>E6/21.3*1000</f>
        <v>2697.0371916239237</v>
      </c>
      <c r="F7" s="93" t="s">
        <v>497</v>
      </c>
    </row>
    <row r="8" spans="1:6" ht="16.5" hidden="1">
      <c r="A8" s="934">
        <v>3</v>
      </c>
      <c r="B8" s="247" t="s">
        <v>388</v>
      </c>
      <c r="C8" s="244" t="s">
        <v>1040</v>
      </c>
      <c r="D8" s="244">
        <v>100</v>
      </c>
      <c r="E8" s="244">
        <v>100</v>
      </c>
      <c r="F8" s="765"/>
    </row>
    <row r="9" spans="1:6" ht="16.5" hidden="1">
      <c r="A9" s="934"/>
      <c r="B9" s="247" t="s">
        <v>389</v>
      </c>
      <c r="C9" s="244" t="s">
        <v>1040</v>
      </c>
      <c r="D9" s="244" t="s">
        <v>513</v>
      </c>
      <c r="E9" s="301">
        <f>'1. Chi tieu KT'!K25</f>
        <v>56.65190244943701</v>
      </c>
      <c r="F9" s="765"/>
    </row>
    <row r="10" spans="1:6" ht="16.5" hidden="1">
      <c r="A10" s="934"/>
      <c r="B10" s="247" t="s">
        <v>498</v>
      </c>
      <c r="C10" s="244" t="s">
        <v>1040</v>
      </c>
      <c r="D10" s="244" t="s">
        <v>390</v>
      </c>
      <c r="E10" s="301">
        <f>'1. Chi tieu KT'!K26</f>
        <v>37.72880089652596</v>
      </c>
      <c r="F10" s="765"/>
    </row>
    <row r="11" spans="1:6" ht="16.5" hidden="1">
      <c r="A11" s="934"/>
      <c r="B11" s="247" t="s">
        <v>391</v>
      </c>
      <c r="C11" s="244" t="s">
        <v>1040</v>
      </c>
      <c r="D11" s="770" t="s">
        <v>517</v>
      </c>
      <c r="E11" s="301">
        <f>'1. Chi tieu KT'!K27</f>
        <v>5.619296654037035</v>
      </c>
      <c r="F11" s="765"/>
    </row>
    <row r="12" spans="1:6" ht="16.5" hidden="1">
      <c r="A12" s="247">
        <v>4</v>
      </c>
      <c r="B12" s="247" t="s">
        <v>392</v>
      </c>
      <c r="C12" s="244" t="s">
        <v>1040</v>
      </c>
      <c r="D12" s="244" t="s">
        <v>612</v>
      </c>
      <c r="E12" s="301">
        <f>'1. Chi tieu KT'!L39-100</f>
        <v>14.362923451905758</v>
      </c>
      <c r="F12" s="765"/>
    </row>
    <row r="13" spans="1:6" ht="16.5" hidden="1">
      <c r="A13" s="247">
        <v>5</v>
      </c>
      <c r="B13" s="247" t="s">
        <v>613</v>
      </c>
      <c r="C13" s="244" t="s">
        <v>1040</v>
      </c>
      <c r="D13" s="244" t="s">
        <v>612</v>
      </c>
      <c r="E13" s="301">
        <f>'1. Chi tieu KT'!L11-100</f>
        <v>14.192981672547546</v>
      </c>
      <c r="F13" s="765"/>
    </row>
    <row r="14" spans="1:6" ht="16.5" hidden="1">
      <c r="A14" s="247">
        <v>6</v>
      </c>
      <c r="B14" s="247" t="s">
        <v>614</v>
      </c>
      <c r="C14" s="244" t="s">
        <v>1040</v>
      </c>
      <c r="D14" s="244" t="s">
        <v>496</v>
      </c>
      <c r="E14" s="301">
        <f>'1. Chi tieu KT'!L38-100</f>
        <v>4.425098109973376</v>
      </c>
      <c r="F14" s="765"/>
    </row>
    <row r="15" spans="1:6" ht="16.5">
      <c r="A15" s="940">
        <v>3</v>
      </c>
      <c r="B15" s="940" t="s">
        <v>520</v>
      </c>
      <c r="C15" s="763" t="s">
        <v>404</v>
      </c>
      <c r="D15" s="763" t="s">
        <v>615</v>
      </c>
      <c r="E15" s="775">
        <f>'1. Chi tieu KT'!J72/1000</f>
        <v>45.605059999999995</v>
      </c>
      <c r="F15" s="93" t="s">
        <v>497</v>
      </c>
    </row>
    <row r="16" spans="1:6" ht="16.5">
      <c r="A16" s="940"/>
      <c r="B16" s="940"/>
      <c r="C16" s="763" t="s">
        <v>406</v>
      </c>
      <c r="D16" s="763" t="s">
        <v>616</v>
      </c>
      <c r="E16" s="771">
        <f>E15/'1. Chi tieu KT'!J18*100*1000</f>
        <v>28.125229725562747</v>
      </c>
      <c r="F16" s="93" t="s">
        <v>497</v>
      </c>
    </row>
    <row r="17" spans="1:6" ht="33">
      <c r="A17" s="768">
        <v>4</v>
      </c>
      <c r="B17" s="768" t="s">
        <v>415</v>
      </c>
      <c r="C17" s="763" t="s">
        <v>1038</v>
      </c>
      <c r="D17" s="763" t="s">
        <v>617</v>
      </c>
      <c r="E17" s="763" t="s">
        <v>617</v>
      </c>
      <c r="F17" s="93" t="s">
        <v>497</v>
      </c>
    </row>
    <row r="18" spans="1:6" ht="16.5">
      <c r="A18" s="768">
        <v>5</v>
      </c>
      <c r="B18" s="768" t="s">
        <v>414</v>
      </c>
      <c r="C18" s="763" t="s">
        <v>1040</v>
      </c>
      <c r="D18" s="764" t="s">
        <v>440</v>
      </c>
      <c r="E18" s="771">
        <f>'1. Chi tieu KT'!L46-100</f>
        <v>13.898305084745772</v>
      </c>
      <c r="F18" s="93" t="s">
        <v>528</v>
      </c>
    </row>
    <row r="19" spans="1:6" ht="16.5">
      <c r="A19" s="940">
        <v>6</v>
      </c>
      <c r="B19" s="768" t="s">
        <v>408</v>
      </c>
      <c r="C19" s="763" t="s">
        <v>618</v>
      </c>
      <c r="D19" s="770" t="s">
        <v>619</v>
      </c>
      <c r="E19" s="773">
        <f>'6.FDI'!F22/1000</f>
        <v>1.6</v>
      </c>
      <c r="F19" s="93" t="s">
        <v>528</v>
      </c>
    </row>
    <row r="20" spans="1:6" ht="16.5">
      <c r="A20" s="940"/>
      <c r="B20" s="768" t="s">
        <v>620</v>
      </c>
      <c r="C20" s="763" t="s">
        <v>618</v>
      </c>
      <c r="D20" s="763">
        <v>1</v>
      </c>
      <c r="E20" s="773">
        <f>'6.FDI'!F8/1000</f>
        <v>1.1</v>
      </c>
      <c r="F20" s="93" t="s">
        <v>497</v>
      </c>
    </row>
    <row r="21" spans="1:6" ht="16.5">
      <c r="A21" s="768">
        <v>7</v>
      </c>
      <c r="B21" s="768" t="s">
        <v>410</v>
      </c>
      <c r="C21" s="763" t="s">
        <v>1038</v>
      </c>
      <c r="D21" s="764" t="s">
        <v>411</v>
      </c>
      <c r="E21" s="767">
        <v>8000</v>
      </c>
      <c r="F21" s="93" t="s">
        <v>497</v>
      </c>
    </row>
    <row r="22" spans="1:6" ht="16.5" hidden="1">
      <c r="A22" s="247">
        <v>12</v>
      </c>
      <c r="B22" s="247" t="s">
        <v>412</v>
      </c>
      <c r="C22" s="244" t="s">
        <v>1038</v>
      </c>
      <c r="D22" s="244" t="s">
        <v>621</v>
      </c>
      <c r="E22" s="776">
        <f>'5.PTDN'!F23/1000</f>
        <v>16</v>
      </c>
      <c r="F22" s="765" t="s">
        <v>528</v>
      </c>
    </row>
    <row r="23" spans="1:6" ht="16.5">
      <c r="A23" s="943" t="s">
        <v>622</v>
      </c>
      <c r="B23" s="943"/>
      <c r="C23" s="762"/>
      <c r="D23" s="762"/>
      <c r="E23" s="762"/>
      <c r="F23" s="93"/>
    </row>
    <row r="24" spans="1:6" ht="16.5" hidden="1">
      <c r="A24" s="247">
        <v>13</v>
      </c>
      <c r="B24" s="247" t="s">
        <v>532</v>
      </c>
      <c r="C24" s="244" t="s">
        <v>1040</v>
      </c>
      <c r="D24" s="244" t="s">
        <v>623</v>
      </c>
      <c r="E24" s="244" t="str">
        <f>'3. XH'!G11</f>
        <v>&lt;1,1</v>
      </c>
      <c r="F24" s="765"/>
    </row>
    <row r="25" spans="1:6" ht="16.5">
      <c r="A25" s="768">
        <v>8</v>
      </c>
      <c r="B25" s="768" t="s">
        <v>416</v>
      </c>
      <c r="C25" s="763" t="s">
        <v>1040</v>
      </c>
      <c r="D25" s="763">
        <v>2.5</v>
      </c>
      <c r="E25" s="763">
        <v>2.5</v>
      </c>
      <c r="F25" s="93" t="s">
        <v>497</v>
      </c>
    </row>
    <row r="26" spans="1:6" ht="33">
      <c r="A26" s="768">
        <v>9</v>
      </c>
      <c r="B26" s="768" t="s">
        <v>624</v>
      </c>
      <c r="C26" s="763" t="s">
        <v>1040</v>
      </c>
      <c r="D26" s="766">
        <v>0.85</v>
      </c>
      <c r="E26" s="766">
        <v>0.85</v>
      </c>
      <c r="F26" s="93" t="s">
        <v>497</v>
      </c>
    </row>
    <row r="27" spans="1:6" ht="16.5" hidden="1">
      <c r="A27" s="247">
        <v>15</v>
      </c>
      <c r="B27" s="247" t="s">
        <v>417</v>
      </c>
      <c r="C27" s="244" t="s">
        <v>368</v>
      </c>
      <c r="D27" s="244">
        <v>280</v>
      </c>
      <c r="E27" s="767">
        <v>280</v>
      </c>
      <c r="F27" s="765" t="s">
        <v>497</v>
      </c>
    </row>
    <row r="28" spans="1:6" ht="16.5">
      <c r="A28" s="768">
        <v>10</v>
      </c>
      <c r="B28" s="768" t="s">
        <v>625</v>
      </c>
      <c r="C28" s="763" t="s">
        <v>626</v>
      </c>
      <c r="D28" s="767">
        <v>90000</v>
      </c>
      <c r="E28" s="767">
        <v>90000</v>
      </c>
      <c r="F28" s="93" t="s">
        <v>497</v>
      </c>
    </row>
    <row r="29" spans="1:6" ht="16.5">
      <c r="A29" s="768">
        <v>11</v>
      </c>
      <c r="B29" s="768" t="s">
        <v>555</v>
      </c>
      <c r="C29" s="763" t="s">
        <v>1040</v>
      </c>
      <c r="D29" s="763">
        <v>62</v>
      </c>
      <c r="E29" s="767">
        <v>62</v>
      </c>
      <c r="F29" s="93" t="s">
        <v>497</v>
      </c>
    </row>
    <row r="30" spans="1:6" ht="16.5">
      <c r="A30" s="768">
        <v>12</v>
      </c>
      <c r="B30" s="768" t="s">
        <v>425</v>
      </c>
      <c r="C30" s="763" t="s">
        <v>1040</v>
      </c>
      <c r="D30" s="766">
        <v>0.48</v>
      </c>
      <c r="E30" s="767">
        <v>48</v>
      </c>
      <c r="F30" s="93" t="s">
        <v>497</v>
      </c>
    </row>
    <row r="31" spans="1:6" ht="16.5" hidden="1">
      <c r="A31" s="247">
        <v>18</v>
      </c>
      <c r="B31" s="247" t="s">
        <v>627</v>
      </c>
      <c r="C31" s="244" t="s">
        <v>1040</v>
      </c>
      <c r="D31" s="244">
        <v>96</v>
      </c>
      <c r="E31" s="767">
        <v>96</v>
      </c>
      <c r="F31" s="765"/>
    </row>
    <row r="32" spans="1:6" ht="16.5">
      <c r="A32" s="768">
        <v>13</v>
      </c>
      <c r="B32" s="768" t="s">
        <v>418</v>
      </c>
      <c r="C32" s="763" t="s">
        <v>1076</v>
      </c>
      <c r="D32" s="763">
        <v>6.7</v>
      </c>
      <c r="E32" s="775">
        <v>6.7</v>
      </c>
      <c r="F32" s="93" t="s">
        <v>497</v>
      </c>
    </row>
    <row r="33" spans="1:6" ht="16.5">
      <c r="A33" s="768">
        <v>14</v>
      </c>
      <c r="B33" s="768" t="s">
        <v>541</v>
      </c>
      <c r="C33" s="763" t="s">
        <v>1075</v>
      </c>
      <c r="D33" s="763">
        <v>24.5</v>
      </c>
      <c r="E33" s="775">
        <v>24.5</v>
      </c>
      <c r="F33" s="93" t="s">
        <v>497</v>
      </c>
    </row>
    <row r="34" spans="1:6" ht="33" hidden="1">
      <c r="A34" s="247">
        <v>21</v>
      </c>
      <c r="B34" s="247" t="s">
        <v>421</v>
      </c>
      <c r="C34" s="244" t="s">
        <v>1040</v>
      </c>
      <c r="D34" s="244">
        <v>10.5</v>
      </c>
      <c r="E34" s="767"/>
      <c r="F34" s="765"/>
    </row>
    <row r="35" spans="1:6" ht="33" hidden="1">
      <c r="A35" s="247">
        <v>22</v>
      </c>
      <c r="B35" s="247" t="s">
        <v>422</v>
      </c>
      <c r="C35" s="244" t="s">
        <v>1040</v>
      </c>
      <c r="D35" s="244">
        <v>26</v>
      </c>
      <c r="E35" s="767"/>
      <c r="F35" s="765"/>
    </row>
    <row r="36" spans="1:6" ht="16.5">
      <c r="A36" s="768">
        <v>15</v>
      </c>
      <c r="B36" s="768" t="s">
        <v>426</v>
      </c>
      <c r="C36" s="763" t="s">
        <v>1040</v>
      </c>
      <c r="D36" s="763" t="s">
        <v>628</v>
      </c>
      <c r="E36" s="767" t="s">
        <v>628</v>
      </c>
      <c r="F36" s="93" t="s">
        <v>497</v>
      </c>
    </row>
    <row r="37" spans="1:6" ht="16.5" hidden="1">
      <c r="A37" s="247">
        <v>24</v>
      </c>
      <c r="B37" s="247" t="s">
        <v>427</v>
      </c>
      <c r="C37" s="244" t="s">
        <v>1040</v>
      </c>
      <c r="D37" s="244">
        <v>90</v>
      </c>
      <c r="E37" s="767"/>
      <c r="F37" s="765"/>
    </row>
    <row r="38" spans="1:6" ht="16.5" hidden="1">
      <c r="A38" s="247">
        <v>25</v>
      </c>
      <c r="B38" s="247" t="s">
        <v>428</v>
      </c>
      <c r="C38" s="244" t="s">
        <v>1040</v>
      </c>
      <c r="D38" s="244">
        <v>97.5</v>
      </c>
      <c r="E38" s="767"/>
      <c r="F38" s="765"/>
    </row>
    <row r="39" spans="1:6" ht="16.5" hidden="1">
      <c r="A39" s="247">
        <v>26</v>
      </c>
      <c r="B39" s="247" t="s">
        <v>629</v>
      </c>
      <c r="C39" s="244" t="s">
        <v>1040</v>
      </c>
      <c r="D39" s="244">
        <v>99</v>
      </c>
      <c r="E39" s="767"/>
      <c r="F39" s="765"/>
    </row>
    <row r="40" spans="1:6" ht="16.5" hidden="1">
      <c r="A40" s="247">
        <v>27</v>
      </c>
      <c r="B40" s="247" t="s">
        <v>589</v>
      </c>
      <c r="C40" s="244" t="s">
        <v>1040</v>
      </c>
      <c r="D40" s="244">
        <v>99.6</v>
      </c>
      <c r="E40" s="767"/>
      <c r="F40" s="765"/>
    </row>
    <row r="41" spans="1:6" ht="33">
      <c r="A41" s="768">
        <v>16</v>
      </c>
      <c r="B41" s="768" t="s">
        <v>630</v>
      </c>
      <c r="C41" s="763" t="s">
        <v>1040</v>
      </c>
      <c r="D41" s="763" t="s">
        <v>631</v>
      </c>
      <c r="E41" s="767"/>
      <c r="F41" s="93"/>
    </row>
    <row r="42" spans="1:6" ht="16.5">
      <c r="A42" s="943" t="s">
        <v>632</v>
      </c>
      <c r="B42" s="943"/>
      <c r="C42" s="762"/>
      <c r="D42" s="762"/>
      <c r="E42" s="767"/>
      <c r="F42" s="93"/>
    </row>
    <row r="43" spans="1:6" ht="33" hidden="1">
      <c r="A43" s="247">
        <v>28</v>
      </c>
      <c r="B43" s="247" t="s">
        <v>633</v>
      </c>
      <c r="C43" s="244" t="s">
        <v>1040</v>
      </c>
      <c r="D43" s="765">
        <v>98.8</v>
      </c>
      <c r="E43" s="767"/>
      <c r="F43" s="765"/>
    </row>
    <row r="44" spans="1:6" ht="33" hidden="1">
      <c r="A44" s="247">
        <v>29</v>
      </c>
      <c r="B44" s="247" t="s">
        <v>634</v>
      </c>
      <c r="C44" s="244" t="s">
        <v>1040</v>
      </c>
      <c r="D44" s="765">
        <v>94.4</v>
      </c>
      <c r="E44" s="767"/>
      <c r="F44" s="765"/>
    </row>
    <row r="45" spans="1:6" ht="16.5">
      <c r="A45" s="768">
        <v>17</v>
      </c>
      <c r="B45" s="768" t="s">
        <v>432</v>
      </c>
      <c r="C45" s="763" t="s">
        <v>1040</v>
      </c>
      <c r="D45" s="93">
        <v>100</v>
      </c>
      <c r="E45" s="767">
        <f>'4. MT'!G10</f>
        <v>100</v>
      </c>
      <c r="F45" s="93" t="s">
        <v>497</v>
      </c>
    </row>
    <row r="46" spans="1:6" ht="33">
      <c r="A46" s="768">
        <v>18</v>
      </c>
      <c r="B46" s="768" t="s">
        <v>433</v>
      </c>
      <c r="C46" s="763" t="s">
        <v>1040</v>
      </c>
      <c r="D46" s="93">
        <v>95</v>
      </c>
      <c r="E46" s="767">
        <f>'4. MT'!G11</f>
        <v>95</v>
      </c>
      <c r="F46" s="93" t="s">
        <v>497</v>
      </c>
    </row>
    <row r="47" spans="1:6" ht="33">
      <c r="A47" s="768">
        <v>19</v>
      </c>
      <c r="B47" s="768" t="s">
        <v>371</v>
      </c>
      <c r="C47" s="763" t="s">
        <v>1040</v>
      </c>
      <c r="D47" s="93">
        <v>90</v>
      </c>
      <c r="E47" s="767">
        <f>'4. MT'!G12</f>
        <v>90.2</v>
      </c>
      <c r="F47" s="93" t="s">
        <v>497</v>
      </c>
    </row>
    <row r="48" spans="1:6" ht="33">
      <c r="A48" s="768">
        <v>20</v>
      </c>
      <c r="B48" s="768" t="s">
        <v>436</v>
      </c>
      <c r="C48" s="763" t="s">
        <v>1040</v>
      </c>
      <c r="D48" s="93">
        <v>100</v>
      </c>
      <c r="E48" s="767">
        <v>100</v>
      </c>
      <c r="F48" s="93" t="s">
        <v>497</v>
      </c>
    </row>
    <row r="49" spans="1:6" ht="33">
      <c r="A49" s="768">
        <v>21</v>
      </c>
      <c r="B49" s="768" t="s">
        <v>635</v>
      </c>
      <c r="C49" s="763" t="s">
        <v>1040</v>
      </c>
      <c r="D49" s="93">
        <v>100</v>
      </c>
      <c r="E49" s="767">
        <v>100</v>
      </c>
      <c r="F49" s="93" t="s">
        <v>497</v>
      </c>
    </row>
    <row r="50" spans="1:6" ht="16.5" hidden="1">
      <c r="A50" s="247">
        <v>35</v>
      </c>
      <c r="B50" s="247" t="s">
        <v>598</v>
      </c>
      <c r="C50" s="244" t="s">
        <v>1040</v>
      </c>
      <c r="D50" s="765">
        <v>56</v>
      </c>
      <c r="E50" s="767"/>
      <c r="F50" s="765"/>
    </row>
    <row r="51" spans="1:6" ht="16.5" hidden="1">
      <c r="A51" s="247">
        <v>36</v>
      </c>
      <c r="B51" s="247" t="s">
        <v>438</v>
      </c>
      <c r="C51" s="244" t="s">
        <v>1040</v>
      </c>
      <c r="D51" s="244">
        <v>29.76</v>
      </c>
      <c r="E51" s="767"/>
      <c r="F51" s="765"/>
    </row>
  </sheetData>
  <sheetProtection/>
  <mergeCells count="11">
    <mergeCell ref="A42:B42"/>
    <mergeCell ref="A2:F2"/>
    <mergeCell ref="A23:B23"/>
    <mergeCell ref="A1:B1"/>
    <mergeCell ref="A15:A16"/>
    <mergeCell ref="B15:B16"/>
    <mergeCell ref="A19:A20"/>
    <mergeCell ref="A4:B4"/>
    <mergeCell ref="A6:A7"/>
    <mergeCell ref="B6:B7"/>
    <mergeCell ref="A8:A11"/>
  </mergeCells>
  <printOptions horizontalCentered="1"/>
  <pageMargins left="0.47" right="0.43" top="0.6" bottom="0.62" header="0.5" footer="0.3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6:H11"/>
  <sheetViews>
    <sheetView zoomScalePageLayoutView="0" workbookViewId="0" topLeftCell="A4">
      <selection activeCell="K24" sqref="K24"/>
    </sheetView>
  </sheetViews>
  <sheetFormatPr defaultColWidth="9.00390625" defaultRowHeight="15.75"/>
  <cols>
    <col min="1" max="1" width="16.875" style="0" customWidth="1"/>
    <col min="2" max="2" width="14.375" style="0" customWidth="1"/>
    <col min="8" max="8" width="21.375" style="0" customWidth="1"/>
  </cols>
  <sheetData>
    <row r="5" ht="21.75" customHeight="1"/>
    <row r="6" spans="2:8" ht="20.25">
      <c r="B6" s="838" t="s">
        <v>373</v>
      </c>
      <c r="C6" s="838"/>
      <c r="D6" s="838"/>
      <c r="E6" s="838"/>
      <c r="F6" s="838"/>
      <c r="G6" s="838"/>
      <c r="H6" s="838"/>
    </row>
    <row r="7" spans="2:8" ht="19.5" customHeight="1">
      <c r="B7" s="6"/>
      <c r="C7" s="6"/>
      <c r="D7" s="6"/>
      <c r="E7" s="6"/>
      <c r="F7" s="6"/>
      <c r="G7" s="6"/>
      <c r="H7" s="7"/>
    </row>
    <row r="8" spans="2:8" ht="21.75">
      <c r="B8" s="839" t="s">
        <v>1117</v>
      </c>
      <c r="C8" s="839"/>
      <c r="D8" s="839"/>
      <c r="E8" s="839"/>
      <c r="F8" s="839"/>
      <c r="G8" s="839"/>
      <c r="H8" s="839"/>
    </row>
    <row r="9" spans="2:8" ht="51.75" customHeight="1">
      <c r="B9" s="840" t="s">
        <v>607</v>
      </c>
      <c r="C9" s="840"/>
      <c r="D9" s="840"/>
      <c r="E9" s="840"/>
      <c r="F9" s="840"/>
      <c r="G9" s="840"/>
      <c r="H9" s="840"/>
    </row>
    <row r="10" spans="2:8" ht="45.75" customHeight="1">
      <c r="B10" s="843" t="s">
        <v>375</v>
      </c>
      <c r="C10" s="842"/>
      <c r="D10" s="842"/>
      <c r="E10" s="842"/>
      <c r="F10" s="842"/>
      <c r="G10" s="842"/>
      <c r="H10" s="842"/>
    </row>
    <row r="11" spans="2:8" ht="27.75" customHeight="1">
      <c r="B11" s="841"/>
      <c r="C11" s="841"/>
      <c r="D11" s="841"/>
      <c r="E11" s="841"/>
      <c r="F11" s="841"/>
      <c r="G11" s="841"/>
      <c r="H11" s="841"/>
    </row>
  </sheetData>
  <sheetProtection/>
  <mergeCells count="5">
    <mergeCell ref="B11:H11"/>
    <mergeCell ref="B6:H6"/>
    <mergeCell ref="B8:H8"/>
    <mergeCell ref="B9:H9"/>
    <mergeCell ref="B10:H10"/>
  </mergeCells>
  <printOptions/>
  <pageMargins left="1.26" right="0.75" top="1.3"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H52"/>
  <sheetViews>
    <sheetView zoomScalePageLayoutView="0" workbookViewId="0" topLeftCell="A31">
      <selection activeCell="F47" sqref="F47"/>
    </sheetView>
  </sheetViews>
  <sheetFormatPr defaultColWidth="9.00390625" defaultRowHeight="15.75"/>
  <cols>
    <col min="1" max="1" width="3.625" style="0" bestFit="1" customWidth="1"/>
    <col min="2" max="2" width="41.00390625" style="0" customWidth="1"/>
    <col min="3" max="3" width="16.00390625" style="0" customWidth="1"/>
    <col min="4" max="4" width="19.00390625" style="0" hidden="1" customWidth="1"/>
    <col min="5" max="6" width="16.375" style="0" customWidth="1"/>
    <col min="7" max="7" width="17.50390625" style="0" customWidth="1"/>
  </cols>
  <sheetData>
    <row r="1" spans="1:2" ht="18.75">
      <c r="A1" s="939" t="s">
        <v>855</v>
      </c>
      <c r="B1" s="939"/>
    </row>
    <row r="2" spans="1:7" ht="18.75">
      <c r="A2" s="944" t="s">
        <v>856</v>
      </c>
      <c r="B2" s="944"/>
      <c r="C2" s="944"/>
      <c r="D2" s="944"/>
      <c r="E2" s="944"/>
      <c r="F2" s="944"/>
      <c r="G2" s="944"/>
    </row>
    <row r="3" spans="1:7" ht="33">
      <c r="A3" s="762" t="s">
        <v>1035</v>
      </c>
      <c r="B3" s="762" t="s">
        <v>1036</v>
      </c>
      <c r="C3" s="762" t="s">
        <v>374</v>
      </c>
      <c r="D3" s="762" t="s">
        <v>608</v>
      </c>
      <c r="E3" s="762" t="s">
        <v>609</v>
      </c>
      <c r="F3" s="762" t="s">
        <v>841</v>
      </c>
      <c r="G3" s="762" t="s">
        <v>842</v>
      </c>
    </row>
    <row r="4" spans="1:7" ht="16.5">
      <c r="A4" s="943" t="s">
        <v>488</v>
      </c>
      <c r="B4" s="943"/>
      <c r="C4" s="763"/>
      <c r="D4" s="763"/>
      <c r="E4" s="763"/>
      <c r="F4" s="778"/>
      <c r="G4" s="93"/>
    </row>
    <row r="5" spans="1:7" ht="16.5">
      <c r="A5" s="763">
        <v>1</v>
      </c>
      <c r="B5" s="768" t="s">
        <v>610</v>
      </c>
      <c r="C5" s="763" t="s">
        <v>1040</v>
      </c>
      <c r="D5" s="764" t="s">
        <v>439</v>
      </c>
      <c r="E5" s="769">
        <f>'1. Chi tieu KT'!L8-100</f>
        <v>11.554903735139007</v>
      </c>
      <c r="F5" s="778" t="s">
        <v>843</v>
      </c>
      <c r="G5" s="93" t="s">
        <v>844</v>
      </c>
    </row>
    <row r="6" spans="1:7" ht="16.5">
      <c r="A6" s="854">
        <v>2</v>
      </c>
      <c r="B6" s="940" t="s">
        <v>611</v>
      </c>
      <c r="C6" s="763" t="s">
        <v>154</v>
      </c>
      <c r="D6" s="763" t="s">
        <v>513</v>
      </c>
      <c r="E6" s="769">
        <f>'1. Chi tieu KT'!J23</f>
        <v>57.446892181589575</v>
      </c>
      <c r="F6" s="781">
        <v>64</v>
      </c>
      <c r="G6" s="93" t="s">
        <v>845</v>
      </c>
    </row>
    <row r="7" spans="1:8" ht="16.5">
      <c r="A7" s="854"/>
      <c r="B7" s="940"/>
      <c r="C7" s="763" t="s">
        <v>500</v>
      </c>
      <c r="D7" s="763" t="s">
        <v>387</v>
      </c>
      <c r="E7" s="772">
        <f>E6/21.3*1000</f>
        <v>2697.0371916239237</v>
      </c>
      <c r="F7" s="781">
        <v>3000</v>
      </c>
      <c r="G7" s="93" t="s">
        <v>846</v>
      </c>
      <c r="H7" s="777"/>
    </row>
    <row r="8" spans="1:7" ht="16.5">
      <c r="A8" s="936">
        <v>3</v>
      </c>
      <c r="B8" s="247" t="s">
        <v>388</v>
      </c>
      <c r="C8" s="244" t="s">
        <v>1040</v>
      </c>
      <c r="D8" s="244">
        <v>100</v>
      </c>
      <c r="E8" s="244">
        <v>100</v>
      </c>
      <c r="F8" s="782">
        <v>100</v>
      </c>
      <c r="G8" s="765">
        <v>100</v>
      </c>
    </row>
    <row r="9" spans="1:7" ht="16.5">
      <c r="A9" s="936"/>
      <c r="B9" s="247" t="s">
        <v>389</v>
      </c>
      <c r="C9" s="244" t="s">
        <v>1040</v>
      </c>
      <c r="D9" s="244" t="s">
        <v>513</v>
      </c>
      <c r="E9" s="301">
        <f>'1. Chi tieu KT'!K25</f>
        <v>56.65190244943701</v>
      </c>
      <c r="F9" s="779" t="s">
        <v>513</v>
      </c>
      <c r="G9" s="765" t="s">
        <v>442</v>
      </c>
    </row>
    <row r="10" spans="1:7" ht="16.5">
      <c r="A10" s="936"/>
      <c r="B10" s="247" t="s">
        <v>498</v>
      </c>
      <c r="C10" s="244" t="s">
        <v>1040</v>
      </c>
      <c r="D10" s="244" t="s">
        <v>390</v>
      </c>
      <c r="E10" s="301">
        <f>'1. Chi tieu KT'!K26</f>
        <v>37.72880089652596</v>
      </c>
      <c r="F10" s="779" t="s">
        <v>515</v>
      </c>
      <c r="G10" s="765" t="s">
        <v>442</v>
      </c>
    </row>
    <row r="11" spans="1:7" ht="16.5">
      <c r="A11" s="936"/>
      <c r="B11" s="247" t="s">
        <v>391</v>
      </c>
      <c r="C11" s="244" t="s">
        <v>1040</v>
      </c>
      <c r="D11" s="770" t="s">
        <v>517</v>
      </c>
      <c r="E11" s="301">
        <f>'1. Chi tieu KT'!K27</f>
        <v>5.619296654037035</v>
      </c>
      <c r="F11" s="783" t="s">
        <v>517</v>
      </c>
      <c r="G11" s="765" t="s">
        <v>442</v>
      </c>
    </row>
    <row r="12" spans="1:7" ht="16.5" hidden="1">
      <c r="A12" s="244">
        <v>4</v>
      </c>
      <c r="B12" s="247" t="s">
        <v>392</v>
      </c>
      <c r="C12" s="244" t="s">
        <v>1040</v>
      </c>
      <c r="D12" s="244" t="s">
        <v>612</v>
      </c>
      <c r="E12" s="301">
        <f>'1. Chi tieu KT'!L39-100</f>
        <v>14.362923451905758</v>
      </c>
      <c r="F12" s="779"/>
      <c r="G12" s="765"/>
    </row>
    <row r="13" spans="1:7" ht="16.5" hidden="1">
      <c r="A13" s="244">
        <v>5</v>
      </c>
      <c r="B13" s="247" t="s">
        <v>613</v>
      </c>
      <c r="C13" s="244" t="s">
        <v>1040</v>
      </c>
      <c r="D13" s="244" t="s">
        <v>612</v>
      </c>
      <c r="E13" s="301">
        <f>'1. Chi tieu KT'!L11-100</f>
        <v>14.192981672547546</v>
      </c>
      <c r="F13" s="779"/>
      <c r="G13" s="765"/>
    </row>
    <row r="14" spans="1:7" ht="16.5" hidden="1">
      <c r="A14" s="244">
        <v>6</v>
      </c>
      <c r="B14" s="247" t="s">
        <v>614</v>
      </c>
      <c r="C14" s="244" t="s">
        <v>1040</v>
      </c>
      <c r="D14" s="244" t="s">
        <v>496</v>
      </c>
      <c r="E14" s="301">
        <f>'1. Chi tieu KT'!L38-100</f>
        <v>4.425098109973376</v>
      </c>
      <c r="F14" s="779"/>
      <c r="G14" s="765"/>
    </row>
    <row r="15" spans="1:7" ht="16.5">
      <c r="A15" s="854">
        <v>4</v>
      </c>
      <c r="B15" s="940" t="s">
        <v>520</v>
      </c>
      <c r="C15" s="763" t="s">
        <v>404</v>
      </c>
      <c r="D15" s="763" t="s">
        <v>615</v>
      </c>
      <c r="E15" s="775">
        <f>'1. Chi tieu KT'!J72/1000</f>
        <v>45.605059999999995</v>
      </c>
      <c r="F15" s="778" t="s">
        <v>847</v>
      </c>
      <c r="G15" s="93" t="s">
        <v>848</v>
      </c>
    </row>
    <row r="16" spans="1:7" ht="16.5">
      <c r="A16" s="854"/>
      <c r="B16" s="940"/>
      <c r="C16" s="763" t="s">
        <v>406</v>
      </c>
      <c r="D16" s="763" t="s">
        <v>616</v>
      </c>
      <c r="E16" s="771">
        <f>E15/'1. Chi tieu KT'!J18*100000</f>
        <v>28.125229725562747</v>
      </c>
      <c r="F16" s="784" t="s">
        <v>849</v>
      </c>
      <c r="G16" s="93" t="s">
        <v>850</v>
      </c>
    </row>
    <row r="17" spans="1:7" ht="33">
      <c r="A17" s="854">
        <v>5</v>
      </c>
      <c r="B17" s="768" t="s">
        <v>415</v>
      </c>
      <c r="C17" s="763" t="s">
        <v>1038</v>
      </c>
      <c r="D17" s="763" t="s">
        <v>617</v>
      </c>
      <c r="E17" s="763" t="s">
        <v>617</v>
      </c>
      <c r="F17" s="763" t="s">
        <v>617</v>
      </c>
      <c r="G17" s="93" t="s">
        <v>442</v>
      </c>
    </row>
    <row r="18" spans="1:7" ht="16.5">
      <c r="A18" s="854"/>
      <c r="B18" s="768" t="s">
        <v>851</v>
      </c>
      <c r="C18" s="763" t="s">
        <v>1040</v>
      </c>
      <c r="D18" s="763"/>
      <c r="E18" s="766">
        <v>0.23</v>
      </c>
      <c r="F18" s="770" t="s">
        <v>852</v>
      </c>
      <c r="G18" s="93"/>
    </row>
    <row r="19" spans="1:7" ht="16.5">
      <c r="A19" s="763">
        <v>6</v>
      </c>
      <c r="B19" s="768" t="s">
        <v>414</v>
      </c>
      <c r="C19" s="763" t="s">
        <v>1040</v>
      </c>
      <c r="D19" s="764" t="s">
        <v>440</v>
      </c>
      <c r="E19" s="771">
        <f>'1. Chi tieu KT'!L46-100</f>
        <v>13.898305084745772</v>
      </c>
      <c r="F19" s="784" t="s">
        <v>440</v>
      </c>
      <c r="G19" s="93" t="s">
        <v>442</v>
      </c>
    </row>
    <row r="20" spans="1:7" ht="16.5" hidden="1">
      <c r="A20" s="940">
        <v>7</v>
      </c>
      <c r="B20" s="768" t="s">
        <v>408</v>
      </c>
      <c r="C20" s="763" t="s">
        <v>618</v>
      </c>
      <c r="D20" s="770" t="s">
        <v>619</v>
      </c>
      <c r="E20" s="773">
        <f>'6.FDI'!F22/1000</f>
        <v>1.6</v>
      </c>
      <c r="F20" s="778"/>
      <c r="G20" s="93" t="s">
        <v>497</v>
      </c>
    </row>
    <row r="21" spans="1:7" ht="16.5" hidden="1">
      <c r="A21" s="940"/>
      <c r="B21" s="768" t="s">
        <v>620</v>
      </c>
      <c r="C21" s="763" t="s">
        <v>618</v>
      </c>
      <c r="D21" s="763">
        <v>1</v>
      </c>
      <c r="E21" s="773">
        <f>'6.FDI'!F8/1000</f>
        <v>1.1</v>
      </c>
      <c r="F21" s="778"/>
      <c r="G21" s="93" t="s">
        <v>497</v>
      </c>
    </row>
    <row r="22" spans="1:7" ht="16.5" hidden="1">
      <c r="A22" s="768">
        <v>8</v>
      </c>
      <c r="B22" s="768" t="s">
        <v>410</v>
      </c>
      <c r="C22" s="763" t="s">
        <v>1038</v>
      </c>
      <c r="D22" s="764" t="s">
        <v>411</v>
      </c>
      <c r="E22" s="767">
        <v>8000</v>
      </c>
      <c r="F22" s="778"/>
      <c r="G22" s="765" t="s">
        <v>528</v>
      </c>
    </row>
    <row r="23" spans="1:7" ht="16.5" hidden="1">
      <c r="A23" s="247">
        <v>9</v>
      </c>
      <c r="B23" s="247" t="s">
        <v>412</v>
      </c>
      <c r="C23" s="244" t="s">
        <v>1038</v>
      </c>
      <c r="D23" s="244" t="s">
        <v>621</v>
      </c>
      <c r="E23" s="776">
        <f>'5.PTDN'!F23/1000</f>
        <v>16</v>
      </c>
      <c r="F23" s="779"/>
      <c r="G23" s="93"/>
    </row>
    <row r="24" spans="1:7" ht="16.5">
      <c r="A24" s="943" t="s">
        <v>622</v>
      </c>
      <c r="B24" s="943"/>
      <c r="C24" s="762"/>
      <c r="D24" s="762"/>
      <c r="E24" s="762"/>
      <c r="F24" s="780"/>
      <c r="G24" s="765"/>
    </row>
    <row r="25" spans="1:7" ht="16.5" hidden="1">
      <c r="A25" s="247">
        <v>13</v>
      </c>
      <c r="B25" s="247" t="s">
        <v>532</v>
      </c>
      <c r="C25" s="244" t="s">
        <v>1040</v>
      </c>
      <c r="D25" s="244" t="s">
        <v>623</v>
      </c>
      <c r="E25" s="244" t="str">
        <f>'3. XH'!G11</f>
        <v>&lt;1,1</v>
      </c>
      <c r="F25" s="779"/>
      <c r="G25" s="93" t="s">
        <v>497</v>
      </c>
    </row>
    <row r="26" spans="1:7" ht="16.5">
      <c r="A26" s="763">
        <v>7</v>
      </c>
      <c r="B26" s="768" t="s">
        <v>416</v>
      </c>
      <c r="C26" s="763" t="s">
        <v>1040</v>
      </c>
      <c r="D26" s="763">
        <v>2.5</v>
      </c>
      <c r="E26" s="763">
        <v>2.5</v>
      </c>
      <c r="F26" s="778" t="s">
        <v>853</v>
      </c>
      <c r="G26" s="93" t="s">
        <v>442</v>
      </c>
    </row>
    <row r="27" spans="1:7" ht="33" hidden="1">
      <c r="A27" s="763">
        <v>9</v>
      </c>
      <c r="B27" s="768" t="s">
        <v>624</v>
      </c>
      <c r="C27" s="763" t="s">
        <v>1040</v>
      </c>
      <c r="D27" s="766">
        <v>0.85</v>
      </c>
      <c r="E27" s="766">
        <v>0.85</v>
      </c>
      <c r="F27" s="778"/>
      <c r="G27" s="93" t="s">
        <v>442</v>
      </c>
    </row>
    <row r="28" spans="1:7" ht="16.5">
      <c r="A28" s="244">
        <v>8</v>
      </c>
      <c r="B28" s="247" t="s">
        <v>417</v>
      </c>
      <c r="C28" s="244" t="s">
        <v>368</v>
      </c>
      <c r="D28" s="244">
        <v>280</v>
      </c>
      <c r="E28" s="767">
        <v>280</v>
      </c>
      <c r="F28" s="781">
        <v>300</v>
      </c>
      <c r="G28" s="93" t="s">
        <v>857</v>
      </c>
    </row>
    <row r="29" spans="1:7" ht="16.5">
      <c r="A29" s="763">
        <v>9</v>
      </c>
      <c r="B29" s="768" t="s">
        <v>625</v>
      </c>
      <c r="C29" s="763" t="s">
        <v>626</v>
      </c>
      <c r="D29" s="767">
        <v>90000</v>
      </c>
      <c r="E29" s="767">
        <v>90000</v>
      </c>
      <c r="F29" s="781">
        <v>90000</v>
      </c>
      <c r="G29" s="93" t="s">
        <v>442</v>
      </c>
    </row>
    <row r="30" spans="1:7" ht="16.5">
      <c r="A30" s="763">
        <v>10</v>
      </c>
      <c r="B30" s="768" t="s">
        <v>555</v>
      </c>
      <c r="C30" s="763" t="s">
        <v>1040</v>
      </c>
      <c r="D30" s="763">
        <v>62</v>
      </c>
      <c r="E30" s="767">
        <v>62</v>
      </c>
      <c r="F30" s="781">
        <v>65</v>
      </c>
      <c r="G30" s="93" t="s">
        <v>858</v>
      </c>
    </row>
    <row r="31" spans="1:7" ht="16.5">
      <c r="A31" s="763">
        <v>11</v>
      </c>
      <c r="B31" s="768" t="s">
        <v>425</v>
      </c>
      <c r="C31" s="763" t="s">
        <v>1040</v>
      </c>
      <c r="D31" s="766">
        <v>0.48</v>
      </c>
      <c r="E31" s="767">
        <v>48</v>
      </c>
      <c r="F31" s="781">
        <v>50</v>
      </c>
      <c r="G31" s="93" t="s">
        <v>859</v>
      </c>
    </row>
    <row r="32" spans="1:7" ht="16.5" hidden="1">
      <c r="A32" s="244">
        <v>18</v>
      </c>
      <c r="B32" s="247" t="s">
        <v>627</v>
      </c>
      <c r="C32" s="244" t="s">
        <v>1040</v>
      </c>
      <c r="D32" s="244">
        <v>96</v>
      </c>
      <c r="E32" s="767">
        <v>96</v>
      </c>
      <c r="F32" s="778"/>
      <c r="G32" s="93" t="s">
        <v>442</v>
      </c>
    </row>
    <row r="33" spans="1:7" ht="16.5">
      <c r="A33" s="763">
        <v>12</v>
      </c>
      <c r="B33" s="768" t="s">
        <v>418</v>
      </c>
      <c r="C33" s="763" t="s">
        <v>1076</v>
      </c>
      <c r="D33" s="763">
        <v>6.7</v>
      </c>
      <c r="E33" s="775">
        <v>6.7</v>
      </c>
      <c r="F33" s="781">
        <v>7</v>
      </c>
      <c r="G33" s="93" t="s">
        <v>860</v>
      </c>
    </row>
    <row r="34" spans="1:7" ht="16.5">
      <c r="A34" s="763">
        <v>13</v>
      </c>
      <c r="B34" s="768" t="s">
        <v>541</v>
      </c>
      <c r="C34" s="763" t="s">
        <v>1075</v>
      </c>
      <c r="D34" s="763">
        <v>24.5</v>
      </c>
      <c r="E34" s="775">
        <v>24.5</v>
      </c>
      <c r="F34" s="781">
        <v>25</v>
      </c>
      <c r="G34" s="93" t="s">
        <v>861</v>
      </c>
    </row>
    <row r="35" spans="1:7" ht="33">
      <c r="A35" s="244">
        <v>14</v>
      </c>
      <c r="B35" s="247" t="s">
        <v>421</v>
      </c>
      <c r="C35" s="244" t="s">
        <v>1040</v>
      </c>
      <c r="D35" s="244">
        <v>10.5</v>
      </c>
      <c r="E35" s="244">
        <v>10.6</v>
      </c>
      <c r="F35" s="781">
        <v>10</v>
      </c>
      <c r="G35" s="93" t="s">
        <v>863</v>
      </c>
    </row>
    <row r="36" spans="1:7" ht="33">
      <c r="A36" s="244">
        <v>15</v>
      </c>
      <c r="B36" s="247" t="s">
        <v>422</v>
      </c>
      <c r="C36" s="244" t="s">
        <v>1040</v>
      </c>
      <c r="D36" s="244">
        <v>26</v>
      </c>
      <c r="E36" s="244">
        <v>26</v>
      </c>
      <c r="F36" s="781">
        <v>25</v>
      </c>
      <c r="G36" s="93" t="s">
        <v>862</v>
      </c>
    </row>
    <row r="37" spans="1:7" ht="16.5">
      <c r="A37" s="763">
        <v>16</v>
      </c>
      <c r="B37" s="768" t="s">
        <v>426</v>
      </c>
      <c r="C37" s="763" t="s">
        <v>1040</v>
      </c>
      <c r="D37" s="763" t="s">
        <v>628</v>
      </c>
      <c r="E37" s="767" t="s">
        <v>628</v>
      </c>
      <c r="F37" s="778">
        <v>6.65</v>
      </c>
      <c r="G37" s="93" t="s">
        <v>864</v>
      </c>
    </row>
    <row r="38" spans="1:7" ht="16.5">
      <c r="A38" s="244">
        <v>17</v>
      </c>
      <c r="B38" s="247" t="s">
        <v>427</v>
      </c>
      <c r="C38" s="244" t="s">
        <v>1040</v>
      </c>
      <c r="D38" s="244">
        <v>90</v>
      </c>
      <c r="E38" s="244">
        <v>88.8</v>
      </c>
      <c r="F38" s="781">
        <v>90</v>
      </c>
      <c r="G38" s="93" t="s">
        <v>865</v>
      </c>
    </row>
    <row r="39" spans="1:7" ht="16.5">
      <c r="A39" s="244">
        <v>18</v>
      </c>
      <c r="B39" s="247" t="s">
        <v>428</v>
      </c>
      <c r="C39" s="244" t="s">
        <v>1040</v>
      </c>
      <c r="D39" s="244">
        <v>97.5</v>
      </c>
      <c r="E39" s="244">
        <v>97</v>
      </c>
      <c r="F39" s="781">
        <v>98</v>
      </c>
      <c r="G39" s="93" t="s">
        <v>850</v>
      </c>
    </row>
    <row r="40" spans="1:7" ht="16.5">
      <c r="A40" s="244">
        <v>19</v>
      </c>
      <c r="B40" s="247" t="s">
        <v>629</v>
      </c>
      <c r="C40" s="244" t="s">
        <v>1040</v>
      </c>
      <c r="D40" s="244">
        <v>99</v>
      </c>
      <c r="E40" s="244">
        <v>97</v>
      </c>
      <c r="F40" s="781">
        <v>98</v>
      </c>
      <c r="G40" s="93" t="s">
        <v>850</v>
      </c>
    </row>
    <row r="41" spans="1:7" ht="16.5">
      <c r="A41" s="244">
        <v>20</v>
      </c>
      <c r="B41" s="247" t="s">
        <v>589</v>
      </c>
      <c r="C41" s="244" t="s">
        <v>1040</v>
      </c>
      <c r="D41" s="244">
        <v>99.6</v>
      </c>
      <c r="E41" s="775">
        <v>99.6</v>
      </c>
      <c r="F41" s="778" t="s">
        <v>854</v>
      </c>
      <c r="G41" s="93" t="s">
        <v>442</v>
      </c>
    </row>
    <row r="42" spans="1:7" ht="33" hidden="1">
      <c r="A42" s="768">
        <v>16</v>
      </c>
      <c r="B42" s="768" t="s">
        <v>630</v>
      </c>
      <c r="C42" s="763" t="s">
        <v>1040</v>
      </c>
      <c r="D42" s="763" t="s">
        <v>631</v>
      </c>
      <c r="E42" s="767"/>
      <c r="F42" s="778"/>
      <c r="G42" s="93" t="s">
        <v>442</v>
      </c>
    </row>
    <row r="43" spans="1:7" ht="16.5">
      <c r="A43" s="943" t="s">
        <v>632</v>
      </c>
      <c r="B43" s="943"/>
      <c r="C43" s="762"/>
      <c r="D43" s="762"/>
      <c r="E43" s="767"/>
      <c r="F43" s="778"/>
      <c r="G43" s="93"/>
    </row>
    <row r="44" spans="1:7" ht="33">
      <c r="A44" s="244">
        <v>21</v>
      </c>
      <c r="B44" s="247" t="s">
        <v>633</v>
      </c>
      <c r="C44" s="244" t="s">
        <v>1040</v>
      </c>
      <c r="D44" s="765">
        <v>98.8</v>
      </c>
      <c r="E44" s="244">
        <v>98.6</v>
      </c>
      <c r="F44" s="781">
        <v>99</v>
      </c>
      <c r="G44" s="93" t="s">
        <v>866</v>
      </c>
    </row>
    <row r="45" spans="1:7" ht="33">
      <c r="A45" s="244">
        <v>22</v>
      </c>
      <c r="B45" s="247" t="s">
        <v>634</v>
      </c>
      <c r="C45" s="244" t="s">
        <v>1040</v>
      </c>
      <c r="D45" s="765">
        <v>94.4</v>
      </c>
      <c r="E45" s="244">
        <v>94.4</v>
      </c>
      <c r="F45" s="781">
        <v>95</v>
      </c>
      <c r="G45" s="93" t="s">
        <v>867</v>
      </c>
    </row>
    <row r="46" spans="1:7" ht="16.5">
      <c r="A46" s="763">
        <v>23</v>
      </c>
      <c r="B46" s="768" t="s">
        <v>432</v>
      </c>
      <c r="C46" s="763" t="s">
        <v>1040</v>
      </c>
      <c r="D46" s="93">
        <v>100</v>
      </c>
      <c r="E46" s="767">
        <f>'4. MT'!G10</f>
        <v>100</v>
      </c>
      <c r="F46" s="778">
        <v>100</v>
      </c>
      <c r="G46" s="93" t="s">
        <v>442</v>
      </c>
    </row>
    <row r="47" spans="1:7" ht="33">
      <c r="A47" s="763">
        <v>24</v>
      </c>
      <c r="B47" s="768" t="s">
        <v>433</v>
      </c>
      <c r="C47" s="763" t="s">
        <v>1040</v>
      </c>
      <c r="D47" s="93">
        <v>95</v>
      </c>
      <c r="E47" s="767">
        <f>'4. MT'!G11</f>
        <v>95</v>
      </c>
      <c r="F47" s="781">
        <v>96</v>
      </c>
      <c r="G47" s="93" t="s">
        <v>850</v>
      </c>
    </row>
    <row r="48" spans="1:7" ht="33">
      <c r="A48" s="763">
        <v>25</v>
      </c>
      <c r="B48" s="768" t="s">
        <v>371</v>
      </c>
      <c r="C48" s="763" t="s">
        <v>1040</v>
      </c>
      <c r="D48" s="93">
        <v>90</v>
      </c>
      <c r="E48" s="767">
        <f>'4. MT'!G12</f>
        <v>90.2</v>
      </c>
      <c r="F48" s="781">
        <v>90</v>
      </c>
      <c r="G48" s="93" t="s">
        <v>442</v>
      </c>
    </row>
    <row r="49" spans="1:7" ht="33">
      <c r="A49" s="763">
        <v>26</v>
      </c>
      <c r="B49" s="768" t="s">
        <v>436</v>
      </c>
      <c r="C49" s="763" t="s">
        <v>1040</v>
      </c>
      <c r="D49" s="93">
        <v>100</v>
      </c>
      <c r="E49" s="767">
        <v>100</v>
      </c>
      <c r="F49" s="778">
        <v>100</v>
      </c>
      <c r="G49" s="93" t="s">
        <v>442</v>
      </c>
    </row>
    <row r="50" spans="1:7" ht="33">
      <c r="A50" s="763">
        <v>27</v>
      </c>
      <c r="B50" s="768" t="s">
        <v>635</v>
      </c>
      <c r="C50" s="763" t="s">
        <v>1040</v>
      </c>
      <c r="D50" s="93">
        <v>100</v>
      </c>
      <c r="E50" s="767">
        <v>100</v>
      </c>
      <c r="F50" s="778">
        <v>100</v>
      </c>
      <c r="G50" s="93" t="s">
        <v>442</v>
      </c>
    </row>
    <row r="51" spans="1:7" ht="16.5">
      <c r="A51" s="244">
        <v>28</v>
      </c>
      <c r="B51" s="247" t="s">
        <v>598</v>
      </c>
      <c r="C51" s="244" t="s">
        <v>1040</v>
      </c>
      <c r="D51" s="765">
        <v>56</v>
      </c>
      <c r="E51" s="767">
        <v>56</v>
      </c>
      <c r="F51" s="781">
        <v>56</v>
      </c>
      <c r="G51" s="93" t="s">
        <v>442</v>
      </c>
    </row>
    <row r="52" spans="1:7" ht="16.5">
      <c r="A52" s="244">
        <v>29</v>
      </c>
      <c r="B52" s="247" t="s">
        <v>438</v>
      </c>
      <c r="C52" s="244" t="s">
        <v>1040</v>
      </c>
      <c r="D52" s="244">
        <v>29.76</v>
      </c>
      <c r="E52" s="774">
        <v>29.76</v>
      </c>
      <c r="F52" s="778">
        <v>29.76</v>
      </c>
      <c r="G52" s="785" t="s">
        <v>442</v>
      </c>
    </row>
  </sheetData>
  <sheetProtection/>
  <mergeCells count="12">
    <mergeCell ref="A43:B43"/>
    <mergeCell ref="A2:G2"/>
    <mergeCell ref="A24:B24"/>
    <mergeCell ref="A17:A18"/>
    <mergeCell ref="A1:B1"/>
    <mergeCell ref="A15:A16"/>
    <mergeCell ref="B15:B16"/>
    <mergeCell ref="A20:A21"/>
    <mergeCell ref="A4:B4"/>
    <mergeCell ref="A6:A7"/>
    <mergeCell ref="B6:B7"/>
    <mergeCell ref="A8:A11"/>
  </mergeCells>
  <printOptions horizontalCentered="1"/>
  <pageMargins left="0.47" right="0.43" top="0.6" bottom="0.62" header="0.5" footer="0.3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Q69"/>
  <sheetViews>
    <sheetView tabSelected="1" zoomScale="70" zoomScaleNormal="7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I25" sqref="I25"/>
    </sheetView>
  </sheetViews>
  <sheetFormatPr defaultColWidth="9.00390625" defaultRowHeight="15.75"/>
  <cols>
    <col min="1" max="1" width="4.75390625" style="237" bestFit="1" customWidth="1"/>
    <col min="2" max="2" width="37.375" style="154" customWidth="1"/>
    <col min="3" max="3" width="10.75390625" style="154" customWidth="1"/>
    <col min="4" max="4" width="14.50390625" style="154" hidden="1" customWidth="1"/>
    <col min="5" max="5" width="20.00390625" style="154" hidden="1" customWidth="1"/>
    <col min="6" max="6" width="10.00390625" style="154" bestFit="1" customWidth="1"/>
    <col min="7" max="7" width="10.00390625" style="154" customWidth="1"/>
    <col min="8" max="8" width="9.50390625" style="154" customWidth="1"/>
    <col min="9" max="9" width="10.75390625" style="154" bestFit="1" customWidth="1"/>
    <col min="10" max="10" width="11.375" style="154" customWidth="1"/>
    <col min="11" max="11" width="12.75390625" style="154" customWidth="1"/>
    <col min="12" max="12" width="14.125" style="154" customWidth="1"/>
    <col min="13" max="13" width="12.75390625" style="154" bestFit="1" customWidth="1"/>
    <col min="14" max="14" width="18.375" style="154" customWidth="1"/>
    <col min="15" max="15" width="15.875" style="154" hidden="1" customWidth="1"/>
    <col min="16" max="16" width="13.25390625" style="154" bestFit="1" customWidth="1"/>
    <col min="17" max="17" width="8.50390625" style="154" bestFit="1" customWidth="1"/>
    <col min="18" max="16384" width="9.00390625" style="154" customWidth="1"/>
  </cols>
  <sheetData>
    <row r="1" spans="1:16" s="153" customFormat="1" ht="61.5" customHeight="1" thickBot="1">
      <c r="A1" s="945" t="s">
        <v>1021</v>
      </c>
      <c r="B1" s="945"/>
      <c r="C1" s="945"/>
      <c r="D1" s="945"/>
      <c r="E1" s="945"/>
      <c r="F1" s="945"/>
      <c r="G1" s="945"/>
      <c r="H1" s="945"/>
      <c r="I1" s="945"/>
      <c r="J1" s="945"/>
      <c r="K1" s="945"/>
      <c r="L1" s="945"/>
      <c r="M1" s="945"/>
      <c r="N1" s="945"/>
      <c r="O1" s="945"/>
      <c r="P1" s="945"/>
    </row>
    <row r="2" spans="1:16" s="153" customFormat="1" ht="84" customHeight="1" thickBot="1" thickTop="1">
      <c r="A2" s="157" t="s">
        <v>1124</v>
      </c>
      <c r="B2" s="158" t="s">
        <v>474</v>
      </c>
      <c r="C2" s="158" t="s">
        <v>215</v>
      </c>
      <c r="D2" s="158" t="s">
        <v>475</v>
      </c>
      <c r="E2" s="158" t="s">
        <v>476</v>
      </c>
      <c r="F2" s="158" t="s">
        <v>477</v>
      </c>
      <c r="G2" s="158" t="s">
        <v>478</v>
      </c>
      <c r="H2" s="158" t="s">
        <v>479</v>
      </c>
      <c r="I2" s="158" t="s">
        <v>480</v>
      </c>
      <c r="J2" s="158" t="s">
        <v>481</v>
      </c>
      <c r="K2" s="159" t="s">
        <v>482</v>
      </c>
      <c r="L2" s="159" t="s">
        <v>483</v>
      </c>
      <c r="M2" s="159" t="s">
        <v>484</v>
      </c>
      <c r="N2" s="159" t="s">
        <v>485</v>
      </c>
      <c r="O2" s="160" t="s">
        <v>486</v>
      </c>
      <c r="P2" s="161" t="s">
        <v>487</v>
      </c>
    </row>
    <row r="3" spans="1:16" s="153" customFormat="1" ht="17.25" thickTop="1">
      <c r="A3" s="162" t="s">
        <v>1077</v>
      </c>
      <c r="B3" s="163" t="s">
        <v>488</v>
      </c>
      <c r="C3" s="164"/>
      <c r="D3" s="164"/>
      <c r="E3" s="164"/>
      <c r="F3" s="164"/>
      <c r="G3" s="164"/>
      <c r="H3" s="164"/>
      <c r="I3" s="164"/>
      <c r="J3" s="164"/>
      <c r="K3" s="165"/>
      <c r="L3" s="165"/>
      <c r="M3" s="164"/>
      <c r="N3" s="164"/>
      <c r="O3" s="166"/>
      <c r="P3" s="167"/>
    </row>
    <row r="4" spans="1:16" s="153" customFormat="1" ht="36.75" customHeight="1">
      <c r="A4" s="946">
        <v>1</v>
      </c>
      <c r="B4" s="169" t="s">
        <v>1022</v>
      </c>
      <c r="C4" s="170" t="s">
        <v>1040</v>
      </c>
      <c r="D4" s="171">
        <v>0.128</v>
      </c>
      <c r="E4" s="170" t="s">
        <v>489</v>
      </c>
      <c r="F4" s="172">
        <v>36205.6</v>
      </c>
      <c r="G4" s="172">
        <v>41040.19</v>
      </c>
      <c r="H4" s="172">
        <v>45984.86</v>
      </c>
      <c r="I4" s="173">
        <v>51280</v>
      </c>
      <c r="J4" s="174">
        <f>(I4/F4)^(1/3)*100-100</f>
        <v>12.302844308406847</v>
      </c>
      <c r="K4" s="173">
        <v>57470</v>
      </c>
      <c r="L4" s="173">
        <v>64370</v>
      </c>
      <c r="M4" s="174">
        <f>(L4/F4)^(1/5)*100-100</f>
        <v>12.197079417301126</v>
      </c>
      <c r="N4" s="175" t="s">
        <v>490</v>
      </c>
      <c r="O4" s="176" t="s">
        <v>491</v>
      </c>
      <c r="P4" s="177" t="s">
        <v>491</v>
      </c>
    </row>
    <row r="5" spans="1:16" s="153" customFormat="1" ht="16.5">
      <c r="A5" s="946"/>
      <c r="B5" s="169" t="s">
        <v>1023</v>
      </c>
      <c r="C5" s="170" t="s">
        <v>1040</v>
      </c>
      <c r="D5" s="171">
        <v>0.16</v>
      </c>
      <c r="E5" s="170" t="s">
        <v>492</v>
      </c>
      <c r="F5" s="172">
        <v>23462.5</v>
      </c>
      <c r="G5" s="172">
        <v>26808.38</v>
      </c>
      <c r="H5" s="172">
        <v>30122.43</v>
      </c>
      <c r="I5" s="173">
        <v>33550</v>
      </c>
      <c r="J5" s="174">
        <f>(I5/F5)^(1/3)*100-100</f>
        <v>12.660778072815134</v>
      </c>
      <c r="K5" s="178">
        <v>37600</v>
      </c>
      <c r="L5" s="179">
        <v>41950</v>
      </c>
      <c r="M5" s="174">
        <f>(L5/F5)^(1/5)*100-100</f>
        <v>12.323734916706925</v>
      </c>
      <c r="N5" s="175" t="s">
        <v>490</v>
      </c>
      <c r="O5" s="176" t="s">
        <v>491</v>
      </c>
      <c r="P5" s="177" t="s">
        <v>491</v>
      </c>
    </row>
    <row r="6" spans="1:16" ht="16.5">
      <c r="A6" s="946"/>
      <c r="B6" s="169" t="s">
        <v>1024</v>
      </c>
      <c r="C6" s="170" t="s">
        <v>1040</v>
      </c>
      <c r="D6" s="171">
        <v>0.121</v>
      </c>
      <c r="E6" s="170" t="s">
        <v>493</v>
      </c>
      <c r="F6" s="172">
        <v>8936.6</v>
      </c>
      <c r="G6" s="172">
        <v>10276.7</v>
      </c>
      <c r="H6" s="172">
        <v>11776.97</v>
      </c>
      <c r="I6" s="173">
        <v>13510</v>
      </c>
      <c r="J6" s="174">
        <f>(I6/F6)^(1/3)*100-100</f>
        <v>14.76981365995185</v>
      </c>
      <c r="K6" s="178">
        <v>15500</v>
      </c>
      <c r="L6" s="179">
        <v>17900</v>
      </c>
      <c r="M6" s="174">
        <f>(L6/F6)^(1/5)*100-100</f>
        <v>14.904263210679304</v>
      </c>
      <c r="N6" s="175" t="s">
        <v>494</v>
      </c>
      <c r="O6" s="170" t="s">
        <v>491</v>
      </c>
      <c r="P6" s="180" t="s">
        <v>491</v>
      </c>
    </row>
    <row r="7" spans="1:16" ht="16.5">
      <c r="A7" s="946"/>
      <c r="B7" s="181" t="s">
        <v>1025</v>
      </c>
      <c r="C7" s="170" t="s">
        <v>1040</v>
      </c>
      <c r="D7" s="171">
        <v>0.046</v>
      </c>
      <c r="E7" s="170" t="s">
        <v>495</v>
      </c>
      <c r="F7" s="172">
        <v>3806.5</v>
      </c>
      <c r="G7" s="172">
        <v>3955.11</v>
      </c>
      <c r="H7" s="172">
        <v>4085.46</v>
      </c>
      <c r="I7" s="173">
        <v>4220</v>
      </c>
      <c r="J7" s="174">
        <f>(I7/F7)^(1/3)*100-100</f>
        <v>3.4972647426906462</v>
      </c>
      <c r="K7" s="178">
        <v>4370</v>
      </c>
      <c r="L7" s="179">
        <v>4520</v>
      </c>
      <c r="M7" s="174">
        <f>(L7/F7)^(1/5)*100-100</f>
        <v>3.4957509670334304</v>
      </c>
      <c r="N7" s="175" t="s">
        <v>496</v>
      </c>
      <c r="O7" s="170" t="s">
        <v>497</v>
      </c>
      <c r="P7" s="180" t="s">
        <v>497</v>
      </c>
    </row>
    <row r="8" spans="1:16" ht="16.5">
      <c r="A8" s="946"/>
      <c r="B8" s="169" t="s">
        <v>1026</v>
      </c>
      <c r="C8" s="170" t="s">
        <v>1038</v>
      </c>
      <c r="D8" s="171"/>
      <c r="E8" s="170"/>
      <c r="F8" s="172">
        <v>76024.7</v>
      </c>
      <c r="G8" s="172">
        <v>98759.3</v>
      </c>
      <c r="H8" s="172">
        <v>114832.8</v>
      </c>
      <c r="I8" s="173">
        <v>132450</v>
      </c>
      <c r="J8" s="174" t="s">
        <v>442</v>
      </c>
      <c r="K8" s="173">
        <v>155000</v>
      </c>
      <c r="L8" s="173">
        <v>182000</v>
      </c>
      <c r="M8" s="174" t="s">
        <v>442</v>
      </c>
      <c r="N8" s="175" t="s">
        <v>442</v>
      </c>
      <c r="O8" s="170" t="s">
        <v>442</v>
      </c>
      <c r="P8" s="180" t="s">
        <v>442</v>
      </c>
    </row>
    <row r="9" spans="1:16" ht="16.5">
      <c r="A9" s="946"/>
      <c r="B9" s="169" t="s">
        <v>1023</v>
      </c>
      <c r="C9" s="170"/>
      <c r="D9" s="171"/>
      <c r="E9" s="170"/>
      <c r="F9" s="172">
        <v>43486.1</v>
      </c>
      <c r="G9" s="172">
        <v>56589</v>
      </c>
      <c r="H9" s="172">
        <v>65454.7</v>
      </c>
      <c r="I9" s="173">
        <v>75700</v>
      </c>
      <c r="J9" s="174" t="s">
        <v>442</v>
      </c>
      <c r="K9" s="173">
        <v>89970</v>
      </c>
      <c r="L9" s="173">
        <v>106320</v>
      </c>
      <c r="M9" s="174" t="s">
        <v>442</v>
      </c>
      <c r="N9" s="175" t="s">
        <v>442</v>
      </c>
      <c r="O9" s="170" t="s">
        <v>442</v>
      </c>
      <c r="P9" s="180" t="s">
        <v>442</v>
      </c>
    </row>
    <row r="10" spans="1:16" ht="16.5">
      <c r="A10" s="946"/>
      <c r="B10" s="169" t="s">
        <v>1024</v>
      </c>
      <c r="C10" s="170"/>
      <c r="D10" s="171"/>
      <c r="E10" s="170"/>
      <c r="F10" s="172">
        <v>26000.5</v>
      </c>
      <c r="G10" s="172">
        <v>34763.3</v>
      </c>
      <c r="H10" s="172">
        <v>41569.5</v>
      </c>
      <c r="I10" s="173">
        <v>48780</v>
      </c>
      <c r="J10" s="174" t="s">
        <v>442</v>
      </c>
      <c r="K10" s="173">
        <v>59400</v>
      </c>
      <c r="L10" s="173">
        <v>72630</v>
      </c>
      <c r="M10" s="174" t="s">
        <v>442</v>
      </c>
      <c r="N10" s="175" t="s">
        <v>442</v>
      </c>
      <c r="O10" s="170" t="s">
        <v>442</v>
      </c>
      <c r="P10" s="180" t="s">
        <v>442</v>
      </c>
    </row>
    <row r="11" spans="1:16" ht="16.5">
      <c r="A11" s="946"/>
      <c r="B11" s="181" t="s">
        <v>1025</v>
      </c>
      <c r="C11" s="170"/>
      <c r="D11" s="171"/>
      <c r="E11" s="170"/>
      <c r="F11" s="172">
        <v>6538.1</v>
      </c>
      <c r="G11" s="172">
        <v>7407</v>
      </c>
      <c r="H11" s="172">
        <v>7808.6</v>
      </c>
      <c r="I11" s="173">
        <v>7970</v>
      </c>
      <c r="J11" s="174" t="s">
        <v>442</v>
      </c>
      <c r="K11" s="173">
        <v>8580</v>
      </c>
      <c r="L11" s="173">
        <v>9050</v>
      </c>
      <c r="M11" s="174" t="s">
        <v>442</v>
      </c>
      <c r="N11" s="175" t="s">
        <v>442</v>
      </c>
      <c r="O11" s="170" t="s">
        <v>442</v>
      </c>
      <c r="P11" s="180" t="s">
        <v>442</v>
      </c>
    </row>
    <row r="12" spans="1:16" ht="16.5">
      <c r="A12" s="946">
        <v>2</v>
      </c>
      <c r="B12" s="169" t="s">
        <v>1027</v>
      </c>
      <c r="C12" s="170"/>
      <c r="D12" s="171"/>
      <c r="E12" s="170"/>
      <c r="F12" s="182"/>
      <c r="G12" s="182"/>
      <c r="H12" s="182"/>
      <c r="I12" s="182"/>
      <c r="J12" s="183"/>
      <c r="K12" s="184"/>
      <c r="L12" s="184"/>
      <c r="M12" s="172"/>
      <c r="N12" s="169"/>
      <c r="O12" s="185"/>
      <c r="P12" s="186"/>
    </row>
    <row r="13" spans="1:16" ht="33">
      <c r="A13" s="946"/>
      <c r="B13" s="169" t="s">
        <v>499</v>
      </c>
      <c r="C13" s="170" t="s">
        <v>500</v>
      </c>
      <c r="D13" s="187">
        <v>787</v>
      </c>
      <c r="E13" s="170" t="s">
        <v>501</v>
      </c>
      <c r="F13" s="188">
        <v>14.060083190197677</v>
      </c>
      <c r="G13" s="188">
        <v>15.399239572260335</v>
      </c>
      <c r="H13" s="188">
        <v>16.956069321533924</v>
      </c>
      <c r="I13" s="188">
        <v>18.576344865060676</v>
      </c>
      <c r="J13" s="189">
        <f>(I13/F13)^(1/3)-1</f>
        <v>0.09729683087866525</v>
      </c>
      <c r="K13" s="188">
        <v>20.34336283185841</v>
      </c>
      <c r="L13" s="188">
        <v>22.265652023521273</v>
      </c>
      <c r="M13" s="189">
        <f>(L13/F13)^(1/5)-1</f>
        <v>0.09630023052434211</v>
      </c>
      <c r="N13" s="169"/>
      <c r="O13" s="185"/>
      <c r="P13" s="186"/>
    </row>
    <row r="14" spans="1:16" ht="16.5">
      <c r="A14" s="946"/>
      <c r="B14" s="169" t="s">
        <v>502</v>
      </c>
      <c r="C14" s="170" t="s">
        <v>154</v>
      </c>
      <c r="D14" s="190" t="s">
        <v>503</v>
      </c>
      <c r="E14" s="187"/>
      <c r="F14" s="188">
        <v>29.52343301892032</v>
      </c>
      <c r="G14" s="188">
        <v>37.056800192414556</v>
      </c>
      <c r="H14" s="188">
        <v>42.342477876106194</v>
      </c>
      <c r="I14" s="188">
        <v>47.98043832639014</v>
      </c>
      <c r="J14" s="189">
        <f>(I14/F14)^(1/3)-1</f>
        <v>0.17570703880058858</v>
      </c>
      <c r="K14" s="188">
        <v>55.91150442477876</v>
      </c>
      <c r="L14" s="188">
        <v>65.02940159114493</v>
      </c>
      <c r="M14" s="189">
        <f>(L14/F14)^(1/5)-1</f>
        <v>0.17108543671641852</v>
      </c>
      <c r="N14" s="169"/>
      <c r="O14" s="185"/>
      <c r="P14" s="186"/>
    </row>
    <row r="15" spans="1:16" s="155" customFormat="1" ht="16.5" hidden="1">
      <c r="A15" s="946"/>
      <c r="B15" s="191" t="s">
        <v>504</v>
      </c>
      <c r="C15" s="192" t="s">
        <v>500</v>
      </c>
      <c r="D15" s="193" t="s">
        <v>505</v>
      </c>
      <c r="E15" s="194" t="s">
        <v>501</v>
      </c>
      <c r="F15" s="195">
        <v>18932</v>
      </c>
      <c r="G15" s="195">
        <v>20803</v>
      </c>
      <c r="H15" s="195">
        <v>20828</v>
      </c>
      <c r="I15" s="195">
        <v>21000</v>
      </c>
      <c r="J15" s="196"/>
      <c r="K15" s="195">
        <v>21500</v>
      </c>
      <c r="L15" s="195">
        <v>22000</v>
      </c>
      <c r="M15" s="196"/>
      <c r="N15" s="191"/>
      <c r="O15" s="197"/>
      <c r="P15" s="198"/>
    </row>
    <row r="16" spans="1:16" s="153" customFormat="1" ht="16.5">
      <c r="A16" s="946"/>
      <c r="B16" s="169" t="s">
        <v>506</v>
      </c>
      <c r="C16" s="170" t="s">
        <v>500</v>
      </c>
      <c r="D16" s="187" t="s">
        <v>507</v>
      </c>
      <c r="E16" s="170">
        <v>865</v>
      </c>
      <c r="F16" s="187">
        <v>1559.4460711451677</v>
      </c>
      <c r="G16" s="187">
        <v>1786.0440078007787</v>
      </c>
      <c r="H16" s="187">
        <v>2026.3691926594383</v>
      </c>
      <c r="I16" s="187">
        <v>2264.600311637727</v>
      </c>
      <c r="J16" s="189">
        <f>(I16/F16)^(1/3)-1</f>
        <v>0.13241879125368916</v>
      </c>
      <c r="K16" s="187">
        <v>2535.6858728866723</v>
      </c>
      <c r="L16" s="187">
        <v>2852.664576802508</v>
      </c>
      <c r="M16" s="189">
        <f>(L16/F16)^(1/5)-1</f>
        <v>0.12838179237298553</v>
      </c>
      <c r="N16" s="175" t="s">
        <v>508</v>
      </c>
      <c r="O16" s="199"/>
      <c r="P16" s="177" t="s">
        <v>491</v>
      </c>
    </row>
    <row r="17" spans="1:16" s="153" customFormat="1" ht="16.5">
      <c r="A17" s="946">
        <v>3</v>
      </c>
      <c r="B17" s="169" t="s">
        <v>509</v>
      </c>
      <c r="C17" s="170"/>
      <c r="D17" s="170" t="s">
        <v>510</v>
      </c>
      <c r="E17" s="170" t="s">
        <v>511</v>
      </c>
      <c r="F17" s="200"/>
      <c r="G17" s="200"/>
      <c r="H17" s="200"/>
      <c r="I17" s="200"/>
      <c r="J17" s="201"/>
      <c r="K17" s="201"/>
      <c r="L17" s="185"/>
      <c r="M17" s="185"/>
      <c r="N17" s="175"/>
      <c r="O17" s="199"/>
      <c r="P17" s="202"/>
    </row>
    <row r="18" spans="1:16" s="153" customFormat="1" ht="16.5">
      <c r="A18" s="946"/>
      <c r="B18" s="191" t="s">
        <v>512</v>
      </c>
      <c r="C18" s="192" t="s">
        <v>1040</v>
      </c>
      <c r="D18" s="203">
        <f>'[2]Tong Hop'!D52</f>
        <v>57.003521934299215</v>
      </c>
      <c r="E18" s="192">
        <v>57</v>
      </c>
      <c r="F18" s="204">
        <f aca="true" t="shared" si="0" ref="F18:I20">F9/F$8*100</f>
        <v>57.199962643719736</v>
      </c>
      <c r="G18" s="204">
        <f t="shared" si="0"/>
        <v>57.29992010878975</v>
      </c>
      <c r="H18" s="204">
        <f t="shared" si="0"/>
        <v>57.000003483325315</v>
      </c>
      <c r="I18" s="204">
        <f t="shared" si="0"/>
        <v>57.153642884107214</v>
      </c>
      <c r="J18" s="204"/>
      <c r="K18" s="204">
        <f aca="true" t="shared" si="1" ref="K18:L20">K9/K$8*100</f>
        <v>58.045161290322575</v>
      </c>
      <c r="L18" s="204">
        <f t="shared" si="1"/>
        <v>58.417582417582416</v>
      </c>
      <c r="M18" s="194"/>
      <c r="N18" s="205" t="s">
        <v>513</v>
      </c>
      <c r="O18" s="199"/>
      <c r="P18" s="947" t="s">
        <v>514</v>
      </c>
    </row>
    <row r="19" spans="1:16" s="153" customFormat="1" ht="16.5">
      <c r="A19" s="946"/>
      <c r="B19" s="191" t="s">
        <v>498</v>
      </c>
      <c r="C19" s="192" t="s">
        <v>1040</v>
      </c>
      <c r="D19" s="203">
        <f>'[2]Tong Hop'!D53</f>
        <v>28.032364458867598</v>
      </c>
      <c r="E19" s="192">
        <v>34</v>
      </c>
      <c r="F19" s="204">
        <f t="shared" si="0"/>
        <v>34.2000691880402</v>
      </c>
      <c r="G19" s="204">
        <f t="shared" si="0"/>
        <v>35.200026731659705</v>
      </c>
      <c r="H19" s="204">
        <f t="shared" si="0"/>
        <v>36.20002298994712</v>
      </c>
      <c r="I19" s="204">
        <f t="shared" si="0"/>
        <v>36.82899207248018</v>
      </c>
      <c r="J19" s="204"/>
      <c r="K19" s="204">
        <f t="shared" si="1"/>
        <v>38.32258064516129</v>
      </c>
      <c r="L19" s="204">
        <f t="shared" si="1"/>
        <v>39.9065934065934</v>
      </c>
      <c r="M19" s="194"/>
      <c r="N19" s="205" t="s">
        <v>515</v>
      </c>
      <c r="O19" s="199"/>
      <c r="P19" s="948"/>
    </row>
    <row r="20" spans="1:16" s="153" customFormat="1" ht="16.5">
      <c r="A20" s="946"/>
      <c r="B20" s="191" t="s">
        <v>516</v>
      </c>
      <c r="C20" s="192" t="s">
        <v>1040</v>
      </c>
      <c r="D20" s="203">
        <f>'[2]Tong Hop'!D54</f>
        <v>14.964113606833182</v>
      </c>
      <c r="E20" s="192">
        <v>9</v>
      </c>
      <c r="F20" s="204">
        <f t="shared" si="0"/>
        <v>8.59996816824006</v>
      </c>
      <c r="G20" s="204">
        <f t="shared" si="0"/>
        <v>7.500053159550543</v>
      </c>
      <c r="H20" s="204">
        <f t="shared" si="0"/>
        <v>6.799973526727555</v>
      </c>
      <c r="I20" s="204">
        <f t="shared" si="0"/>
        <v>6.0173650434126085</v>
      </c>
      <c r="J20" s="204"/>
      <c r="K20" s="204">
        <f t="shared" si="1"/>
        <v>5.535483870967742</v>
      </c>
      <c r="L20" s="204">
        <f t="shared" si="1"/>
        <v>4.972527472527473</v>
      </c>
      <c r="M20" s="194"/>
      <c r="N20" s="205" t="s">
        <v>517</v>
      </c>
      <c r="O20" s="199"/>
      <c r="P20" s="948"/>
    </row>
    <row r="21" spans="1:17" s="153" customFormat="1" ht="16.5">
      <c r="A21" s="951">
        <v>4</v>
      </c>
      <c r="B21" s="952" t="s">
        <v>1028</v>
      </c>
      <c r="C21" s="953" t="s">
        <v>1051</v>
      </c>
      <c r="D21" s="954">
        <v>0.165</v>
      </c>
      <c r="E21" s="953" t="s">
        <v>518</v>
      </c>
      <c r="F21" s="955">
        <v>7546</v>
      </c>
      <c r="G21" s="955">
        <v>9535</v>
      </c>
      <c r="H21" s="955">
        <v>10736</v>
      </c>
      <c r="I21" s="955">
        <v>11464</v>
      </c>
      <c r="J21" s="956">
        <f>(I21/F21)^(1/3)-1</f>
        <v>0.14958156885455876</v>
      </c>
      <c r="K21" s="957">
        <v>13180</v>
      </c>
      <c r="L21" s="958">
        <v>15160</v>
      </c>
      <c r="M21" s="956">
        <f>(L21/F21)^(1/5)-1</f>
        <v>0.1497316320816504</v>
      </c>
      <c r="N21" s="959" t="s">
        <v>519</v>
      </c>
      <c r="O21" s="960" t="s">
        <v>497</v>
      </c>
      <c r="P21" s="961" t="s">
        <v>497</v>
      </c>
      <c r="Q21" s="799">
        <f>L21/K21*100</f>
        <v>115.0227617602428</v>
      </c>
    </row>
    <row r="22" spans="1:16" s="153" customFormat="1" ht="28.5" customHeight="1">
      <c r="A22" s="951"/>
      <c r="B22" s="952" t="s">
        <v>1029</v>
      </c>
      <c r="C22" s="953" t="s">
        <v>1040</v>
      </c>
      <c r="D22" s="954"/>
      <c r="E22" s="953"/>
      <c r="F22" s="956">
        <v>0.2809370225768122</v>
      </c>
      <c r="G22" s="956">
        <v>0.26358335542009015</v>
      </c>
      <c r="H22" s="956">
        <v>0.12595700052438374</v>
      </c>
      <c r="I22" s="956">
        <v>0.06780923994038757</v>
      </c>
      <c r="J22" s="956"/>
      <c r="K22" s="962">
        <v>0.14968597348220514</v>
      </c>
      <c r="L22" s="962">
        <v>0.15022761760242798</v>
      </c>
      <c r="M22" s="956"/>
      <c r="N22" s="959"/>
      <c r="O22" s="960"/>
      <c r="P22" s="961"/>
    </row>
    <row r="23" spans="1:16" s="153" customFormat="1" ht="16.5">
      <c r="A23" s="946">
        <v>5</v>
      </c>
      <c r="B23" s="169" t="s">
        <v>520</v>
      </c>
      <c r="C23" s="170" t="s">
        <v>1038</v>
      </c>
      <c r="D23" s="171"/>
      <c r="E23" s="170" t="s">
        <v>521</v>
      </c>
      <c r="F23" s="206">
        <v>32321</v>
      </c>
      <c r="G23" s="206">
        <v>34450</v>
      </c>
      <c r="H23" s="206">
        <v>35663</v>
      </c>
      <c r="I23" s="206">
        <v>39500</v>
      </c>
      <c r="J23" s="187">
        <v>109613</v>
      </c>
      <c r="K23" s="179">
        <v>46000</v>
      </c>
      <c r="L23" s="179">
        <v>55000</v>
      </c>
      <c r="M23" s="187">
        <v>210613</v>
      </c>
      <c r="N23" s="175" t="s">
        <v>522</v>
      </c>
      <c r="O23" s="176" t="s">
        <v>491</v>
      </c>
      <c r="P23" s="177" t="s">
        <v>491</v>
      </c>
    </row>
    <row r="24" spans="1:16" s="153" customFormat="1" ht="33">
      <c r="A24" s="946"/>
      <c r="B24" s="169" t="s">
        <v>523</v>
      </c>
      <c r="C24" s="170" t="s">
        <v>1040</v>
      </c>
      <c r="D24" s="171">
        <v>0.428</v>
      </c>
      <c r="E24" s="207">
        <v>0.42</v>
      </c>
      <c r="F24" s="200">
        <v>42.51381458920587</v>
      </c>
      <c r="G24" s="200">
        <v>34.882790785272874</v>
      </c>
      <c r="H24" s="200">
        <v>31.05645773681387</v>
      </c>
      <c r="I24" s="200">
        <v>29.822574556436393</v>
      </c>
      <c r="J24" s="201">
        <v>31.920607692841045</v>
      </c>
      <c r="K24" s="200">
        <v>29.123140234251345</v>
      </c>
      <c r="L24" s="200">
        <v>29.25531914893617</v>
      </c>
      <c r="M24" s="201">
        <v>30.82805649234213</v>
      </c>
      <c r="N24" s="175" t="s">
        <v>524</v>
      </c>
      <c r="O24" s="176" t="s">
        <v>491</v>
      </c>
      <c r="P24" s="177" t="s">
        <v>491</v>
      </c>
    </row>
    <row r="25" spans="1:16" s="153" customFormat="1" ht="16.5">
      <c r="A25" s="946">
        <v>6</v>
      </c>
      <c r="B25" s="169" t="s">
        <v>525</v>
      </c>
      <c r="C25" s="170" t="s">
        <v>1038</v>
      </c>
      <c r="D25" s="171">
        <v>0.2465</v>
      </c>
      <c r="E25" s="170" t="s">
        <v>526</v>
      </c>
      <c r="F25" s="208">
        <v>21882.27</v>
      </c>
      <c r="G25" s="200">
        <v>26166.9</v>
      </c>
      <c r="H25" s="200">
        <v>29455.2</v>
      </c>
      <c r="I25" s="200">
        <v>32656</v>
      </c>
      <c r="J25" s="209">
        <v>14.276484498693407</v>
      </c>
      <c r="K25" s="209">
        <v>34920</v>
      </c>
      <c r="L25" s="209">
        <v>38529</v>
      </c>
      <c r="M25" s="189">
        <f>(L25/F25)^(1/5)-1</f>
        <v>0.11979641551442155</v>
      </c>
      <c r="N25" s="175"/>
      <c r="O25" s="199"/>
      <c r="P25" s="177" t="s">
        <v>497</v>
      </c>
    </row>
    <row r="26" spans="1:16" s="153" customFormat="1" ht="16.5">
      <c r="A26" s="946"/>
      <c r="B26" s="169" t="s">
        <v>1030</v>
      </c>
      <c r="C26" s="170" t="s">
        <v>1040</v>
      </c>
      <c r="D26" s="171"/>
      <c r="E26" s="170"/>
      <c r="F26" s="200">
        <v>28.783106016860305</v>
      </c>
      <c r="G26" s="200">
        <v>26.495631297508183</v>
      </c>
      <c r="H26" s="200">
        <v>25.65051100382469</v>
      </c>
      <c r="I26" s="200">
        <v>24.655341638354095</v>
      </c>
      <c r="J26" s="201">
        <v>25.60049464656232</v>
      </c>
      <c r="K26" s="200">
        <v>22.108262108262107</v>
      </c>
      <c r="L26" s="200">
        <v>20.494148936170212</v>
      </c>
      <c r="M26" s="201">
        <v>23.880778996823857</v>
      </c>
      <c r="N26" s="175" t="s">
        <v>527</v>
      </c>
      <c r="O26" s="176" t="s">
        <v>528</v>
      </c>
      <c r="P26" s="177" t="s">
        <v>497</v>
      </c>
    </row>
    <row r="27" spans="1:16" s="153" customFormat="1" ht="16.5">
      <c r="A27" s="168">
        <v>7</v>
      </c>
      <c r="B27" s="169" t="s">
        <v>529</v>
      </c>
      <c r="C27" s="170" t="s">
        <v>1040</v>
      </c>
      <c r="D27" s="171"/>
      <c r="E27" s="170"/>
      <c r="F27" s="200"/>
      <c r="G27" s="200"/>
      <c r="H27" s="200">
        <v>3.6764705882352944</v>
      </c>
      <c r="I27" s="200">
        <v>6.61764705882353</v>
      </c>
      <c r="J27" s="201"/>
      <c r="K27" s="200"/>
      <c r="L27" s="201">
        <v>25</v>
      </c>
      <c r="M27" s="201"/>
      <c r="N27" s="175" t="s">
        <v>530</v>
      </c>
      <c r="O27" s="176"/>
      <c r="P27" s="177" t="s">
        <v>528</v>
      </c>
    </row>
    <row r="28" spans="1:16" s="156" customFormat="1" ht="16.5">
      <c r="A28" s="210" t="s">
        <v>1080</v>
      </c>
      <c r="B28" s="211" t="s">
        <v>531</v>
      </c>
      <c r="C28" s="212"/>
      <c r="D28" s="213"/>
      <c r="E28" s="212"/>
      <c r="F28" s="214"/>
      <c r="G28" s="214"/>
      <c r="H28" s="214"/>
      <c r="I28" s="214"/>
      <c r="J28" s="215"/>
      <c r="K28" s="215"/>
      <c r="L28" s="215"/>
      <c r="M28" s="215"/>
      <c r="N28" s="211"/>
      <c r="O28" s="216"/>
      <c r="P28" s="217"/>
    </row>
    <row r="29" spans="1:16" s="153" customFormat="1" ht="16.5">
      <c r="A29" s="946">
        <v>10</v>
      </c>
      <c r="B29" s="169" t="s">
        <v>532</v>
      </c>
      <c r="C29" s="170" t="s">
        <v>1040</v>
      </c>
      <c r="D29" s="171">
        <v>0.0127</v>
      </c>
      <c r="E29" s="171">
        <v>0.0115</v>
      </c>
      <c r="F29" s="208">
        <v>1.12</v>
      </c>
      <c r="G29" s="200">
        <v>1.1</v>
      </c>
      <c r="H29" s="200">
        <v>1.1</v>
      </c>
      <c r="I29" s="200" t="s">
        <v>533</v>
      </c>
      <c r="J29" s="185"/>
      <c r="K29" s="200" t="s">
        <v>533</v>
      </c>
      <c r="L29" s="218" t="s">
        <v>533</v>
      </c>
      <c r="M29" s="185"/>
      <c r="N29" s="175" t="s">
        <v>534</v>
      </c>
      <c r="O29" s="199"/>
      <c r="P29" s="177" t="s">
        <v>497</v>
      </c>
    </row>
    <row r="30" spans="1:16" s="153" customFormat="1" ht="16.5">
      <c r="A30" s="946"/>
      <c r="B30" s="169" t="s">
        <v>535</v>
      </c>
      <c r="C30" s="170" t="s">
        <v>536</v>
      </c>
      <c r="D30" s="171"/>
      <c r="E30" s="174">
        <v>2.4</v>
      </c>
      <c r="F30" s="187">
        <v>2575063</v>
      </c>
      <c r="G30" s="187">
        <v>2658030</v>
      </c>
      <c r="H30" s="219">
        <v>2720820</v>
      </c>
      <c r="I30" s="219">
        <v>2785102</v>
      </c>
      <c r="J30" s="189">
        <f>(I30/F30)^(1/3)-1</f>
        <v>0.026481394930624624</v>
      </c>
      <c r="K30" s="187">
        <v>2843137</v>
      </c>
      <c r="L30" s="187">
        <v>2900000</v>
      </c>
      <c r="M30" s="189">
        <f>(L30/F30)^(1/5)-1</f>
        <v>0.024052041835932902</v>
      </c>
      <c r="N30" s="187"/>
      <c r="O30" s="199"/>
      <c r="P30" s="202"/>
    </row>
    <row r="31" spans="1:16" s="153" customFormat="1" ht="16.5">
      <c r="A31" s="946"/>
      <c r="B31" s="169" t="s">
        <v>537</v>
      </c>
      <c r="C31" s="170" t="s">
        <v>1040</v>
      </c>
      <c r="D31" s="171"/>
      <c r="E31" s="171" t="s">
        <v>538</v>
      </c>
      <c r="F31" s="189">
        <v>0.33427259837914647</v>
      </c>
      <c r="G31" s="189">
        <v>0.3367983055119769</v>
      </c>
      <c r="H31" s="189">
        <v>0.3393425511426702</v>
      </c>
      <c r="I31" s="189">
        <v>0.33998754803235215</v>
      </c>
      <c r="J31" s="189">
        <f>(I31/F31)^(1/3)-1</f>
        <v>0.005666718984831176</v>
      </c>
      <c r="K31" s="189">
        <v>0.3430390445483281</v>
      </c>
      <c r="L31" s="189">
        <v>0.34640206896551723</v>
      </c>
      <c r="M31" s="189">
        <f>L31-F31</f>
        <v>0.01212947058637076</v>
      </c>
      <c r="N31" s="175"/>
      <c r="O31" s="199"/>
      <c r="P31" s="202"/>
    </row>
    <row r="32" spans="1:16" s="153" customFormat="1" ht="16.5">
      <c r="A32" s="168">
        <v>11</v>
      </c>
      <c r="B32" s="169" t="s">
        <v>539</v>
      </c>
      <c r="C32" s="170" t="s">
        <v>368</v>
      </c>
      <c r="D32" s="171"/>
      <c r="E32" s="171"/>
      <c r="F32" s="200">
        <v>218</v>
      </c>
      <c r="G32" s="200">
        <v>222</v>
      </c>
      <c r="H32" s="200">
        <v>242</v>
      </c>
      <c r="I32" s="200">
        <v>260</v>
      </c>
      <c r="J32" s="238">
        <f>I32-F32</f>
        <v>42</v>
      </c>
      <c r="K32" s="174">
        <v>280</v>
      </c>
      <c r="L32" s="170">
        <v>300</v>
      </c>
      <c r="M32" s="200">
        <f>L32-F32</f>
        <v>82</v>
      </c>
      <c r="N32" s="175" t="s">
        <v>540</v>
      </c>
      <c r="O32" s="199"/>
      <c r="P32" s="177" t="s">
        <v>497</v>
      </c>
    </row>
    <row r="33" spans="1:16" s="153" customFormat="1" ht="16.5">
      <c r="A33" s="168">
        <v>12</v>
      </c>
      <c r="B33" s="169" t="s">
        <v>541</v>
      </c>
      <c r="C33" s="170" t="s">
        <v>542</v>
      </c>
      <c r="D33" s="171"/>
      <c r="E33" s="171"/>
      <c r="F33" s="200">
        <v>19</v>
      </c>
      <c r="G33" s="200">
        <v>20</v>
      </c>
      <c r="H33" s="200">
        <v>21.7</v>
      </c>
      <c r="I33" s="200">
        <v>23.5</v>
      </c>
      <c r="J33" s="174">
        <f>I33-F33</f>
        <v>4.5</v>
      </c>
      <c r="K33" s="174">
        <v>24.5</v>
      </c>
      <c r="L33" s="170">
        <v>26.3</v>
      </c>
      <c r="M33" s="200">
        <f>L33-F33</f>
        <v>7.300000000000001</v>
      </c>
      <c r="N33" s="175" t="s">
        <v>543</v>
      </c>
      <c r="O33" s="199"/>
      <c r="P33" s="177" t="s">
        <v>497</v>
      </c>
    </row>
    <row r="34" spans="1:16" s="153" customFormat="1" ht="16.5">
      <c r="A34" s="168">
        <v>13</v>
      </c>
      <c r="B34" s="169" t="s">
        <v>544</v>
      </c>
      <c r="C34" s="170" t="s">
        <v>1076</v>
      </c>
      <c r="D34" s="171"/>
      <c r="E34" s="171"/>
      <c r="F34" s="200">
        <v>5</v>
      </c>
      <c r="G34" s="200">
        <v>5.5</v>
      </c>
      <c r="H34" s="200">
        <v>6</v>
      </c>
      <c r="I34" s="200">
        <v>6.5</v>
      </c>
      <c r="J34" s="201"/>
      <c r="K34" s="174">
        <v>7</v>
      </c>
      <c r="L34" s="170">
        <v>7.5</v>
      </c>
      <c r="M34" s="185"/>
      <c r="N34" s="175" t="s">
        <v>545</v>
      </c>
      <c r="O34" s="199"/>
      <c r="P34" s="177"/>
    </row>
    <row r="35" spans="1:16" s="153" customFormat="1" ht="16.5">
      <c r="A35" s="946">
        <v>14</v>
      </c>
      <c r="B35" s="169" t="s">
        <v>546</v>
      </c>
      <c r="C35" s="170" t="s">
        <v>1040</v>
      </c>
      <c r="D35" s="171"/>
      <c r="E35" s="171"/>
      <c r="F35" s="200">
        <v>14.5</v>
      </c>
      <c r="G35" s="200">
        <v>12</v>
      </c>
      <c r="H35" s="200">
        <v>11.5</v>
      </c>
      <c r="I35" s="200"/>
      <c r="J35" s="185"/>
      <c r="K35" s="170"/>
      <c r="L35" s="175" t="s">
        <v>547</v>
      </c>
      <c r="M35" s="169"/>
      <c r="N35" s="175" t="s">
        <v>548</v>
      </c>
      <c r="O35" s="199"/>
      <c r="P35" s="177" t="s">
        <v>528</v>
      </c>
    </row>
    <row r="36" spans="1:16" s="153" customFormat="1" ht="16.5">
      <c r="A36" s="946"/>
      <c r="B36" s="169" t="s">
        <v>549</v>
      </c>
      <c r="C36" s="170" t="s">
        <v>1040</v>
      </c>
      <c r="D36" s="171"/>
      <c r="E36" s="171"/>
      <c r="F36" s="200"/>
      <c r="G36" s="200"/>
      <c r="H36" s="200">
        <v>11.5</v>
      </c>
      <c r="I36" s="200">
        <v>11</v>
      </c>
      <c r="J36" s="185"/>
      <c r="K36" s="185">
        <v>10.5</v>
      </c>
      <c r="L36" s="175" t="s">
        <v>547</v>
      </c>
      <c r="M36" s="169"/>
      <c r="N36" s="175"/>
      <c r="O36" s="199"/>
      <c r="P36" s="177"/>
    </row>
    <row r="37" spans="1:16" s="153" customFormat="1" ht="16.5">
      <c r="A37" s="946"/>
      <c r="B37" s="169" t="s">
        <v>550</v>
      </c>
      <c r="C37" s="170" t="s">
        <v>1040</v>
      </c>
      <c r="D37" s="171"/>
      <c r="E37" s="171"/>
      <c r="F37" s="200"/>
      <c r="G37" s="200"/>
      <c r="H37" s="200">
        <v>28</v>
      </c>
      <c r="I37" s="200">
        <v>27</v>
      </c>
      <c r="J37" s="185"/>
      <c r="K37" s="185">
        <v>26</v>
      </c>
      <c r="L37" s="175" t="s">
        <v>1031</v>
      </c>
      <c r="M37" s="169"/>
      <c r="N37" s="175"/>
      <c r="O37" s="199"/>
      <c r="P37" s="177"/>
    </row>
    <row r="38" spans="1:16" s="153" customFormat="1" ht="16.5">
      <c r="A38" s="168">
        <v>15</v>
      </c>
      <c r="B38" s="169" t="s">
        <v>551</v>
      </c>
      <c r="C38" s="170" t="s">
        <v>1040</v>
      </c>
      <c r="D38" s="171">
        <v>0.034</v>
      </c>
      <c r="E38" s="170" t="s">
        <v>552</v>
      </c>
      <c r="F38" s="200">
        <v>2.6</v>
      </c>
      <c r="G38" s="208">
        <v>2.58</v>
      </c>
      <c r="H38" s="208">
        <v>2.57</v>
      </c>
      <c r="I38" s="208">
        <v>2.54</v>
      </c>
      <c r="J38" s="185"/>
      <c r="K38" s="170">
        <v>2.5</v>
      </c>
      <c r="L38" s="175" t="s">
        <v>553</v>
      </c>
      <c r="M38" s="169"/>
      <c r="N38" s="175" t="s">
        <v>554</v>
      </c>
      <c r="O38" s="199"/>
      <c r="P38" s="177" t="s">
        <v>497</v>
      </c>
    </row>
    <row r="39" spans="1:16" s="153" customFormat="1" ht="16.5">
      <c r="A39" s="946">
        <v>16</v>
      </c>
      <c r="B39" s="169" t="s">
        <v>555</v>
      </c>
      <c r="C39" s="170" t="s">
        <v>1040</v>
      </c>
      <c r="D39" s="207">
        <v>0.4</v>
      </c>
      <c r="E39" s="170" t="s">
        <v>556</v>
      </c>
      <c r="F39" s="200">
        <v>52</v>
      </c>
      <c r="G39" s="200">
        <v>55</v>
      </c>
      <c r="H39" s="200">
        <v>58</v>
      </c>
      <c r="I39" s="200">
        <v>60</v>
      </c>
      <c r="J39" s="185"/>
      <c r="K39" s="170">
        <v>62</v>
      </c>
      <c r="L39" s="175" t="s">
        <v>557</v>
      </c>
      <c r="M39" s="169"/>
      <c r="N39" s="175" t="s">
        <v>558</v>
      </c>
      <c r="O39" s="199"/>
      <c r="P39" s="177" t="s">
        <v>497</v>
      </c>
    </row>
    <row r="40" spans="1:16" s="153" customFormat="1" ht="16.5">
      <c r="A40" s="946"/>
      <c r="B40" s="169" t="s">
        <v>559</v>
      </c>
      <c r="C40" s="170" t="s">
        <v>1040</v>
      </c>
      <c r="D40" s="207">
        <v>0.32</v>
      </c>
      <c r="E40" s="207">
        <v>0.4</v>
      </c>
      <c r="F40" s="200">
        <v>40</v>
      </c>
      <c r="G40" s="200">
        <v>43.5</v>
      </c>
      <c r="H40" s="200">
        <v>44</v>
      </c>
      <c r="I40" s="200">
        <v>46</v>
      </c>
      <c r="J40" s="185"/>
      <c r="K40" s="185">
        <v>48</v>
      </c>
      <c r="L40" s="175" t="s">
        <v>560</v>
      </c>
      <c r="M40" s="169"/>
      <c r="N40" s="175" t="s">
        <v>561</v>
      </c>
      <c r="O40" s="199"/>
      <c r="P40" s="177" t="s">
        <v>528</v>
      </c>
    </row>
    <row r="41" spans="1:16" s="153" customFormat="1" ht="16.5">
      <c r="A41" s="946">
        <v>17</v>
      </c>
      <c r="B41" s="169" t="s">
        <v>562</v>
      </c>
      <c r="C41" s="170" t="s">
        <v>1040</v>
      </c>
      <c r="D41" s="207">
        <v>0.7</v>
      </c>
      <c r="E41" s="207" t="s">
        <v>563</v>
      </c>
      <c r="F41" s="208">
        <v>87.69</v>
      </c>
      <c r="G41" s="208">
        <v>89.47</v>
      </c>
      <c r="H41" s="208">
        <v>90.07</v>
      </c>
      <c r="I41" s="200">
        <v>88</v>
      </c>
      <c r="J41" s="185"/>
      <c r="K41" s="170">
        <v>88.5</v>
      </c>
      <c r="L41" s="175" t="s">
        <v>564</v>
      </c>
      <c r="M41" s="169"/>
      <c r="N41" s="175" t="s">
        <v>565</v>
      </c>
      <c r="O41" s="199"/>
      <c r="P41" s="177" t="s">
        <v>497</v>
      </c>
    </row>
    <row r="42" spans="1:16" s="153" customFormat="1" ht="16.5">
      <c r="A42" s="946"/>
      <c r="B42" s="169" t="s">
        <v>566</v>
      </c>
      <c r="C42" s="170" t="s">
        <v>1040</v>
      </c>
      <c r="D42" s="207">
        <v>0.7</v>
      </c>
      <c r="E42" s="207">
        <v>0.9</v>
      </c>
      <c r="F42" s="220">
        <v>95.3</v>
      </c>
      <c r="G42" s="221">
        <v>96.95</v>
      </c>
      <c r="H42" s="221">
        <v>97.38</v>
      </c>
      <c r="I42" s="220">
        <v>97</v>
      </c>
      <c r="J42" s="185"/>
      <c r="K42" s="170">
        <v>97.5</v>
      </c>
      <c r="L42" s="175" t="s">
        <v>567</v>
      </c>
      <c r="M42" s="169"/>
      <c r="N42" s="175" t="s">
        <v>568</v>
      </c>
      <c r="O42" s="199"/>
      <c r="P42" s="177" t="s">
        <v>497</v>
      </c>
    </row>
    <row r="43" spans="1:16" s="153" customFormat="1" ht="16.5" hidden="1">
      <c r="A43" s="168">
        <v>16</v>
      </c>
      <c r="B43" s="169" t="s">
        <v>569</v>
      </c>
      <c r="C43" s="170" t="s">
        <v>1040</v>
      </c>
      <c r="D43" s="170"/>
      <c r="E43" s="207">
        <v>1</v>
      </c>
      <c r="F43" s="220"/>
      <c r="G43" s="220"/>
      <c r="H43" s="220"/>
      <c r="I43" s="220"/>
      <c r="J43" s="185"/>
      <c r="K43" s="185"/>
      <c r="L43" s="170"/>
      <c r="M43" s="185"/>
      <c r="N43" s="175" t="s">
        <v>570</v>
      </c>
      <c r="O43" s="199"/>
      <c r="P43" s="202"/>
    </row>
    <row r="44" spans="1:16" s="153" customFormat="1" ht="16.5" hidden="1">
      <c r="A44" s="168"/>
      <c r="B44" s="169" t="s">
        <v>571</v>
      </c>
      <c r="C44" s="170" t="s">
        <v>1040</v>
      </c>
      <c r="D44" s="170"/>
      <c r="E44" s="207">
        <v>0.95</v>
      </c>
      <c r="F44" s="220"/>
      <c r="G44" s="220"/>
      <c r="H44" s="220"/>
      <c r="I44" s="220"/>
      <c r="J44" s="185"/>
      <c r="K44" s="185"/>
      <c r="L44" s="170"/>
      <c r="M44" s="185"/>
      <c r="N44" s="175"/>
      <c r="O44" s="199"/>
      <c r="P44" s="202"/>
    </row>
    <row r="45" spans="1:16" s="153" customFormat="1" ht="16.5" hidden="1">
      <c r="A45" s="168">
        <v>17</v>
      </c>
      <c r="B45" s="169" t="s">
        <v>572</v>
      </c>
      <c r="C45" s="170" t="s">
        <v>1040</v>
      </c>
      <c r="D45" s="170"/>
      <c r="E45" s="207" t="s">
        <v>573</v>
      </c>
      <c r="F45" s="200"/>
      <c r="G45" s="200"/>
      <c r="H45" s="200"/>
      <c r="I45" s="200"/>
      <c r="J45" s="185"/>
      <c r="K45" s="185"/>
      <c r="L45" s="170"/>
      <c r="M45" s="185"/>
      <c r="N45" s="175" t="s">
        <v>574</v>
      </c>
      <c r="O45" s="199"/>
      <c r="P45" s="202"/>
    </row>
    <row r="46" spans="1:16" s="153" customFormat="1" ht="16.5" hidden="1">
      <c r="A46" s="168">
        <v>19</v>
      </c>
      <c r="B46" s="169" t="s">
        <v>575</v>
      </c>
      <c r="C46" s="170" t="s">
        <v>1073</v>
      </c>
      <c r="D46" s="170"/>
      <c r="E46" s="207" t="s">
        <v>576</v>
      </c>
      <c r="F46" s="200">
        <v>14641</v>
      </c>
      <c r="G46" s="200"/>
      <c r="H46" s="200"/>
      <c r="I46" s="200"/>
      <c r="J46" s="185"/>
      <c r="K46" s="185"/>
      <c r="L46" s="170"/>
      <c r="M46" s="185"/>
      <c r="N46" s="175"/>
      <c r="O46" s="199"/>
      <c r="P46" s="202"/>
    </row>
    <row r="47" spans="1:16" s="153" customFormat="1" ht="33">
      <c r="A47" s="946">
        <v>18</v>
      </c>
      <c r="B47" s="169" t="s">
        <v>577</v>
      </c>
      <c r="C47" s="170" t="s">
        <v>1040</v>
      </c>
      <c r="D47" s="170"/>
      <c r="E47" s="207"/>
      <c r="F47" s="200"/>
      <c r="G47" s="200"/>
      <c r="H47" s="200"/>
      <c r="I47" s="200"/>
      <c r="J47" s="185"/>
      <c r="K47" s="185"/>
      <c r="L47" s="170"/>
      <c r="M47" s="185"/>
      <c r="N47" s="175" t="s">
        <v>578</v>
      </c>
      <c r="O47" s="199"/>
      <c r="P47" s="202" t="s">
        <v>1032</v>
      </c>
    </row>
    <row r="48" spans="1:16" s="153" customFormat="1" ht="33">
      <c r="A48" s="946"/>
      <c r="B48" s="169" t="s">
        <v>579</v>
      </c>
      <c r="C48" s="170" t="s">
        <v>1040</v>
      </c>
      <c r="D48" s="170"/>
      <c r="E48" s="207"/>
      <c r="F48" s="175">
        <v>27.8</v>
      </c>
      <c r="G48" s="175">
        <v>31</v>
      </c>
      <c r="H48" s="175">
        <v>31.5</v>
      </c>
      <c r="I48" s="175">
        <v>32.5</v>
      </c>
      <c r="J48" s="175"/>
      <c r="K48" s="175">
        <v>33.3</v>
      </c>
      <c r="L48" s="175">
        <v>34.1</v>
      </c>
      <c r="M48" s="185"/>
      <c r="N48" s="175" t="s">
        <v>580</v>
      </c>
      <c r="O48" s="199"/>
      <c r="P48" s="177" t="s">
        <v>528</v>
      </c>
    </row>
    <row r="49" spans="1:16" s="153" customFormat="1" ht="16.5">
      <c r="A49" s="946"/>
      <c r="B49" s="169" t="s">
        <v>581</v>
      </c>
      <c r="C49" s="170" t="s">
        <v>1040</v>
      </c>
      <c r="D49" s="170"/>
      <c r="E49" s="207"/>
      <c r="F49" s="200">
        <v>54.385964912280706</v>
      </c>
      <c r="G49" s="200">
        <v>54.97076023391813</v>
      </c>
      <c r="H49" s="200">
        <v>56.14035087719298</v>
      </c>
      <c r="I49" s="200">
        <v>58.47953216374269</v>
      </c>
      <c r="J49" s="185"/>
      <c r="K49" s="185"/>
      <c r="L49" s="170"/>
      <c r="M49" s="185"/>
      <c r="N49" s="175" t="s">
        <v>582</v>
      </c>
      <c r="O49" s="199"/>
      <c r="P49" s="202"/>
    </row>
    <row r="50" spans="1:16" s="153" customFormat="1" ht="16.5">
      <c r="A50" s="168">
        <v>19</v>
      </c>
      <c r="B50" s="169" t="s">
        <v>583</v>
      </c>
      <c r="C50" s="170" t="s">
        <v>1040</v>
      </c>
      <c r="D50" s="171">
        <v>0.089</v>
      </c>
      <c r="E50" s="170" t="s">
        <v>584</v>
      </c>
      <c r="F50" s="208">
        <v>6.29</v>
      </c>
      <c r="G50" s="200">
        <v>5</v>
      </c>
      <c r="H50" s="200">
        <v>3.5</v>
      </c>
      <c r="I50" s="200">
        <v>2</v>
      </c>
      <c r="J50" s="185"/>
      <c r="K50" s="170" t="s">
        <v>585</v>
      </c>
      <c r="L50" s="170"/>
      <c r="M50" s="185"/>
      <c r="N50" s="175" t="s">
        <v>602</v>
      </c>
      <c r="O50" s="199"/>
      <c r="P50" s="177" t="s">
        <v>497</v>
      </c>
    </row>
    <row r="51" spans="1:16" s="153" customFormat="1" ht="16.5" hidden="1">
      <c r="A51" s="168"/>
      <c r="B51" s="169" t="s">
        <v>586</v>
      </c>
      <c r="C51" s="170"/>
      <c r="D51" s="171"/>
      <c r="E51" s="170">
        <v>6.29</v>
      </c>
      <c r="F51" s="200"/>
      <c r="G51" s="200"/>
      <c r="H51" s="200"/>
      <c r="I51" s="200"/>
      <c r="J51" s="185"/>
      <c r="K51" s="185"/>
      <c r="L51" s="170"/>
      <c r="M51" s="185"/>
      <c r="N51" s="175"/>
      <c r="O51" s="199"/>
      <c r="P51" s="202"/>
    </row>
    <row r="52" spans="1:16" s="153" customFormat="1" ht="16.5" hidden="1">
      <c r="A52" s="168"/>
      <c r="B52" s="169" t="s">
        <v>587</v>
      </c>
      <c r="C52" s="170" t="s">
        <v>1040</v>
      </c>
      <c r="D52" s="171"/>
      <c r="E52" s="170"/>
      <c r="F52" s="200"/>
      <c r="G52" s="200"/>
      <c r="H52" s="200"/>
      <c r="I52" s="200"/>
      <c r="J52" s="185"/>
      <c r="K52" s="185"/>
      <c r="L52" s="222">
        <v>0.015</v>
      </c>
      <c r="M52" s="223"/>
      <c r="N52" s="175" t="s">
        <v>588</v>
      </c>
      <c r="O52" s="199"/>
      <c r="P52" s="202"/>
    </row>
    <row r="53" spans="1:16" s="153" customFormat="1" ht="16.5">
      <c r="A53" s="168">
        <v>20</v>
      </c>
      <c r="B53" s="169" t="s">
        <v>589</v>
      </c>
      <c r="C53" s="170" t="s">
        <v>1040</v>
      </c>
      <c r="D53" s="207">
        <v>0.97</v>
      </c>
      <c r="E53" s="207">
        <v>0.98</v>
      </c>
      <c r="F53" s="208">
        <v>99.06</v>
      </c>
      <c r="G53" s="208">
        <v>99.29</v>
      </c>
      <c r="H53" s="208">
        <v>99.57</v>
      </c>
      <c r="I53" s="208">
        <v>99.67</v>
      </c>
      <c r="J53" s="185"/>
      <c r="K53" s="170">
        <v>99</v>
      </c>
      <c r="L53" s="175" t="s">
        <v>590</v>
      </c>
      <c r="M53" s="169"/>
      <c r="N53" s="175" t="s">
        <v>591</v>
      </c>
      <c r="O53" s="199"/>
      <c r="P53" s="177" t="s">
        <v>497</v>
      </c>
    </row>
    <row r="54" spans="1:16" s="153" customFormat="1" ht="16.5">
      <c r="A54" s="946">
        <v>21</v>
      </c>
      <c r="B54" s="169" t="s">
        <v>592</v>
      </c>
      <c r="C54" s="170"/>
      <c r="D54" s="207"/>
      <c r="E54" s="207" t="s">
        <v>593</v>
      </c>
      <c r="F54" s="200"/>
      <c r="G54" s="200"/>
      <c r="H54" s="200"/>
      <c r="I54" s="200"/>
      <c r="J54" s="185"/>
      <c r="K54" s="185"/>
      <c r="L54" s="175"/>
      <c r="M54" s="169"/>
      <c r="N54" s="175"/>
      <c r="O54" s="199"/>
      <c r="P54" s="202"/>
    </row>
    <row r="55" spans="1:16" s="153" customFormat="1" ht="16.5">
      <c r="A55" s="946"/>
      <c r="B55" s="169" t="s">
        <v>594</v>
      </c>
      <c r="C55" s="170" t="s">
        <v>1040</v>
      </c>
      <c r="D55" s="207">
        <v>0.85</v>
      </c>
      <c r="E55" s="207"/>
      <c r="F55" s="208">
        <v>95.06</v>
      </c>
      <c r="G55" s="208">
        <v>95.86</v>
      </c>
      <c r="H55" s="208">
        <v>96.8</v>
      </c>
      <c r="I55" s="208">
        <v>97.3</v>
      </c>
      <c r="J55" s="185"/>
      <c r="K55" s="170">
        <v>98.5</v>
      </c>
      <c r="L55" s="175" t="s">
        <v>590</v>
      </c>
      <c r="M55" s="169"/>
      <c r="N55" s="175" t="s">
        <v>591</v>
      </c>
      <c r="O55" s="199"/>
      <c r="P55" s="177" t="s">
        <v>497</v>
      </c>
    </row>
    <row r="56" spans="1:16" s="153" customFormat="1" ht="16.5">
      <c r="A56" s="946"/>
      <c r="B56" s="169" t="s">
        <v>595</v>
      </c>
      <c r="C56" s="170" t="s">
        <v>1040</v>
      </c>
      <c r="D56" s="171">
        <v>0.7035</v>
      </c>
      <c r="E56" s="207"/>
      <c r="F56" s="200">
        <v>90</v>
      </c>
      <c r="G56" s="208">
        <v>92.08</v>
      </c>
      <c r="H56" s="208">
        <v>93.08</v>
      </c>
      <c r="I56" s="200">
        <v>93.8</v>
      </c>
      <c r="J56" s="185"/>
      <c r="K56" s="170">
        <v>94.4</v>
      </c>
      <c r="L56" s="224" t="s">
        <v>596</v>
      </c>
      <c r="M56" s="181"/>
      <c r="N56" s="224" t="s">
        <v>596</v>
      </c>
      <c r="O56" s="199"/>
      <c r="P56" s="177" t="s">
        <v>497</v>
      </c>
    </row>
    <row r="57" spans="1:16" s="156" customFormat="1" ht="16.5">
      <c r="A57" s="210" t="s">
        <v>1121</v>
      </c>
      <c r="B57" s="211" t="s">
        <v>597</v>
      </c>
      <c r="C57" s="212"/>
      <c r="D57" s="213"/>
      <c r="E57" s="225"/>
      <c r="F57" s="214"/>
      <c r="G57" s="214"/>
      <c r="H57" s="214"/>
      <c r="I57" s="214"/>
      <c r="J57" s="215"/>
      <c r="K57" s="215"/>
      <c r="L57" s="212"/>
      <c r="M57" s="215"/>
      <c r="N57" s="226"/>
      <c r="O57" s="216"/>
      <c r="P57" s="227"/>
    </row>
    <row r="58" spans="1:16" s="153" customFormat="1" ht="16.5">
      <c r="A58" s="168">
        <v>22</v>
      </c>
      <c r="B58" s="169" t="s">
        <v>598</v>
      </c>
      <c r="C58" s="170" t="s">
        <v>1040</v>
      </c>
      <c r="D58" s="207">
        <v>0.51</v>
      </c>
      <c r="E58" s="207">
        <v>0.5</v>
      </c>
      <c r="F58" s="200">
        <v>54.3</v>
      </c>
      <c r="G58" s="200">
        <v>55.7</v>
      </c>
      <c r="H58" s="200">
        <v>55.6</v>
      </c>
      <c r="I58" s="200">
        <v>56</v>
      </c>
      <c r="J58" s="185"/>
      <c r="K58" s="170">
        <v>56</v>
      </c>
      <c r="L58" s="224" t="s">
        <v>599</v>
      </c>
      <c r="M58" s="181"/>
      <c r="N58" s="224" t="s">
        <v>600</v>
      </c>
      <c r="O58" s="199"/>
      <c r="P58" s="177" t="s">
        <v>497</v>
      </c>
    </row>
    <row r="59" spans="1:16" s="153" customFormat="1" ht="16.5">
      <c r="A59" s="168"/>
      <c r="B59" s="169" t="s">
        <v>601</v>
      </c>
      <c r="C59" s="170" t="s">
        <v>1040</v>
      </c>
      <c r="D59" s="207">
        <v>0.25</v>
      </c>
      <c r="E59" s="207">
        <v>0.3</v>
      </c>
      <c r="F59" s="208">
        <v>29.76</v>
      </c>
      <c r="G59" s="208">
        <v>29.76</v>
      </c>
      <c r="H59" s="208">
        <v>29.76</v>
      </c>
      <c r="I59" s="208">
        <v>29.76</v>
      </c>
      <c r="J59" s="185"/>
      <c r="K59" s="170">
        <v>29.76</v>
      </c>
      <c r="L59" s="224" t="s">
        <v>1012</v>
      </c>
      <c r="M59" s="181"/>
      <c r="N59" s="224" t="s">
        <v>1013</v>
      </c>
      <c r="O59" s="199"/>
      <c r="P59" s="177" t="s">
        <v>497</v>
      </c>
    </row>
    <row r="60" spans="1:16" s="153" customFormat="1" ht="16.5">
      <c r="A60" s="946">
        <v>23</v>
      </c>
      <c r="B60" s="169" t="s">
        <v>1014</v>
      </c>
      <c r="C60" s="170" t="s">
        <v>1040</v>
      </c>
      <c r="D60" s="207">
        <v>0.6</v>
      </c>
      <c r="E60" s="170" t="s">
        <v>1015</v>
      </c>
      <c r="F60" s="220"/>
      <c r="G60" s="220"/>
      <c r="H60" s="220"/>
      <c r="I60" s="220"/>
      <c r="J60" s="185"/>
      <c r="K60" s="185"/>
      <c r="L60" s="170"/>
      <c r="M60" s="185"/>
      <c r="N60" s="175"/>
      <c r="O60" s="199"/>
      <c r="P60" s="202"/>
    </row>
    <row r="61" spans="1:16" s="153" customFormat="1" ht="33.75" customHeight="1">
      <c r="A61" s="946"/>
      <c r="B61" s="169" t="s">
        <v>1016</v>
      </c>
      <c r="C61" s="170" t="s">
        <v>1040</v>
      </c>
      <c r="D61" s="207"/>
      <c r="E61" s="170"/>
      <c r="F61" s="220">
        <v>100</v>
      </c>
      <c r="G61" s="220">
        <v>100</v>
      </c>
      <c r="H61" s="220">
        <v>100</v>
      </c>
      <c r="I61" s="220">
        <v>100</v>
      </c>
      <c r="J61" s="185"/>
      <c r="K61" s="170">
        <v>100</v>
      </c>
      <c r="L61" s="228" t="s">
        <v>582</v>
      </c>
      <c r="M61" s="181"/>
      <c r="N61" s="949" t="s">
        <v>1017</v>
      </c>
      <c r="O61" s="199"/>
      <c r="P61" s="948" t="s">
        <v>497</v>
      </c>
    </row>
    <row r="62" spans="1:16" s="153" customFormat="1" ht="57.75" customHeight="1">
      <c r="A62" s="946"/>
      <c r="B62" s="169" t="s">
        <v>1018</v>
      </c>
      <c r="C62" s="170" t="s">
        <v>1040</v>
      </c>
      <c r="D62" s="207"/>
      <c r="E62" s="170"/>
      <c r="F62" s="220">
        <v>85</v>
      </c>
      <c r="G62" s="220">
        <v>87</v>
      </c>
      <c r="H62" s="220">
        <v>93</v>
      </c>
      <c r="I62" s="220">
        <v>95</v>
      </c>
      <c r="J62" s="185"/>
      <c r="K62" s="170">
        <v>97</v>
      </c>
      <c r="L62" s="228" t="s">
        <v>582</v>
      </c>
      <c r="M62" s="181"/>
      <c r="N62" s="949"/>
      <c r="O62" s="199"/>
      <c r="P62" s="948"/>
    </row>
    <row r="63" spans="1:16" s="153" customFormat="1" ht="90" customHeight="1" thickBot="1">
      <c r="A63" s="950"/>
      <c r="B63" s="229" t="s">
        <v>1019</v>
      </c>
      <c r="C63" s="230" t="s">
        <v>1040</v>
      </c>
      <c r="D63" s="231"/>
      <c r="E63" s="230"/>
      <c r="F63" s="232">
        <v>61</v>
      </c>
      <c r="G63" s="232">
        <v>67</v>
      </c>
      <c r="H63" s="232">
        <v>85</v>
      </c>
      <c r="I63" s="232">
        <v>85</v>
      </c>
      <c r="J63" s="233"/>
      <c r="K63" s="234" t="s">
        <v>1033</v>
      </c>
      <c r="L63" s="234" t="s">
        <v>1033</v>
      </c>
      <c r="M63" s="234"/>
      <c r="N63" s="234" t="s">
        <v>1020</v>
      </c>
      <c r="O63" s="235"/>
      <c r="P63" s="236" t="s">
        <v>497</v>
      </c>
    </row>
    <row r="64" s="153" customFormat="1" ht="17.25" thickTop="1">
      <c r="A64" s="237"/>
    </row>
    <row r="65" spans="1:14" s="153" customFormat="1" ht="18.75">
      <c r="A65" s="237"/>
      <c r="F65" s="846"/>
      <c r="G65" s="846"/>
      <c r="H65" s="846"/>
      <c r="I65" s="846"/>
      <c r="J65" s="846"/>
      <c r="K65" s="846"/>
      <c r="L65" s="846"/>
      <c r="M65" s="846"/>
      <c r="N65" s="846"/>
    </row>
    <row r="66" s="153" customFormat="1" ht="16.5">
      <c r="A66" s="237"/>
    </row>
    <row r="67" s="153" customFormat="1" ht="16.5">
      <c r="A67" s="237"/>
    </row>
    <row r="68" s="153" customFormat="1" ht="16.5">
      <c r="A68" s="237"/>
    </row>
    <row r="69" s="153" customFormat="1" ht="16.5">
      <c r="A69" s="237"/>
    </row>
  </sheetData>
  <sheetProtection/>
  <mergeCells count="18">
    <mergeCell ref="P18:P20"/>
    <mergeCell ref="N61:N62"/>
    <mergeCell ref="P61:P62"/>
    <mergeCell ref="A39:A40"/>
    <mergeCell ref="A41:A42"/>
    <mergeCell ref="A47:A49"/>
    <mergeCell ref="A54:A56"/>
    <mergeCell ref="A60:A63"/>
    <mergeCell ref="F65:N65"/>
    <mergeCell ref="A1:P1"/>
    <mergeCell ref="A4:A11"/>
    <mergeCell ref="A12:A16"/>
    <mergeCell ref="A17:A20"/>
    <mergeCell ref="A21:A22"/>
    <mergeCell ref="A23:A24"/>
    <mergeCell ref="A25:A26"/>
    <mergeCell ref="A29:A31"/>
    <mergeCell ref="A35:A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79"/>
  <sheetViews>
    <sheetView zoomScale="85" zoomScaleNormal="85" workbookViewId="0" topLeftCell="A1">
      <pane xSplit="2" ySplit="6" topLeftCell="C7" activePane="bottomRight" state="frozen"/>
      <selection pane="topLeft" activeCell="K24" sqref="K24"/>
      <selection pane="topRight" activeCell="K24" sqref="K24"/>
      <selection pane="bottomLeft" activeCell="K24" sqref="K24"/>
      <selection pane="bottomRight" activeCell="C7" sqref="C7"/>
    </sheetView>
  </sheetViews>
  <sheetFormatPr defaultColWidth="9.00390625" defaultRowHeight="15.75"/>
  <cols>
    <col min="1" max="1" width="3.625" style="153" customWidth="1"/>
    <col min="2" max="2" width="39.25390625" style="153" customWidth="1"/>
    <col min="3" max="3" width="10.625" style="153" customWidth="1"/>
    <col min="4" max="5" width="10.625" style="153" hidden="1" customWidth="1"/>
    <col min="6" max="6" width="12.75390625" style="153" hidden="1" customWidth="1"/>
    <col min="7" max="7" width="12.75390625" style="153" customWidth="1"/>
    <col min="8" max="8" width="11.125" style="153" customWidth="1"/>
    <col min="9" max="9" width="10.375" style="153" hidden="1" customWidth="1"/>
    <col min="10" max="10" width="11.50390625" style="153" customWidth="1"/>
    <col min="11" max="11" width="16.125" style="153" bestFit="1" customWidth="1"/>
    <col min="12" max="12" width="12.625" style="153" customWidth="1"/>
    <col min="13" max="13" width="12.625" style="790" customWidth="1"/>
    <col min="14" max="14" width="9.00390625" style="153" customWidth="1"/>
    <col min="15" max="15" width="11.375" style="153" bestFit="1" customWidth="1"/>
    <col min="16" max="16384" width="9.00390625" style="153" customWidth="1"/>
  </cols>
  <sheetData>
    <row r="1" spans="1:13" ht="17.25">
      <c r="A1" s="156" t="s">
        <v>1034</v>
      </c>
      <c r="B1" s="156"/>
      <c r="C1" s="156"/>
      <c r="D1" s="156"/>
      <c r="E1" s="156"/>
      <c r="F1" s="156"/>
      <c r="G1" s="156"/>
      <c r="H1" s="156"/>
      <c r="I1" s="156"/>
      <c r="J1" s="156"/>
      <c r="K1" s="156"/>
      <c r="M1" s="789" t="s">
        <v>291</v>
      </c>
    </row>
    <row r="3" spans="1:13" ht="16.5">
      <c r="A3" s="845" t="s">
        <v>122</v>
      </c>
      <c r="B3" s="845"/>
      <c r="C3" s="845"/>
      <c r="D3" s="845"/>
      <c r="E3" s="845"/>
      <c r="F3" s="845"/>
      <c r="G3" s="845"/>
      <c r="H3" s="845"/>
      <c r="I3" s="845"/>
      <c r="J3" s="845"/>
      <c r="K3" s="845"/>
      <c r="L3" s="845"/>
      <c r="M3" s="845"/>
    </row>
    <row r="5" spans="1:13" s="791" customFormat="1" ht="16.5">
      <c r="A5" s="844" t="s">
        <v>1035</v>
      </c>
      <c r="B5" s="844" t="s">
        <v>1036</v>
      </c>
      <c r="C5" s="844" t="s">
        <v>1037</v>
      </c>
      <c r="D5" s="844" t="s">
        <v>25</v>
      </c>
      <c r="E5" s="844" t="s">
        <v>603</v>
      </c>
      <c r="F5" s="844" t="s">
        <v>200</v>
      </c>
      <c r="G5" s="844" t="s">
        <v>640</v>
      </c>
      <c r="H5" s="844" t="s">
        <v>641</v>
      </c>
      <c r="I5" s="844"/>
      <c r="J5" s="844"/>
      <c r="K5" s="844" t="s">
        <v>642</v>
      </c>
      <c r="L5" s="844" t="s">
        <v>643</v>
      </c>
      <c r="M5" s="844" t="s">
        <v>644</v>
      </c>
    </row>
    <row r="6" spans="1:13" s="791" customFormat="1" ht="49.5">
      <c r="A6" s="844"/>
      <c r="B6" s="844"/>
      <c r="C6" s="844"/>
      <c r="D6" s="844"/>
      <c r="E6" s="844"/>
      <c r="F6" s="844"/>
      <c r="G6" s="844"/>
      <c r="H6" s="637" t="s">
        <v>163</v>
      </c>
      <c r="I6" s="637" t="s">
        <v>161</v>
      </c>
      <c r="J6" s="637" t="s">
        <v>95</v>
      </c>
      <c r="K6" s="844"/>
      <c r="L6" s="844"/>
      <c r="M6" s="844"/>
    </row>
    <row r="7" spans="1:13" s="792" customFormat="1" ht="16.5">
      <c r="A7" s="586">
        <v>1</v>
      </c>
      <c r="B7" s="586">
        <v>2</v>
      </c>
      <c r="C7" s="586">
        <v>3</v>
      </c>
      <c r="D7" s="586"/>
      <c r="E7" s="586"/>
      <c r="F7" s="586"/>
      <c r="G7" s="586">
        <v>4</v>
      </c>
      <c r="H7" s="586">
        <v>5</v>
      </c>
      <c r="I7" s="586">
        <v>6</v>
      </c>
      <c r="J7" s="586">
        <v>7</v>
      </c>
      <c r="K7" s="586">
        <v>8</v>
      </c>
      <c r="L7" s="586" t="s">
        <v>1228</v>
      </c>
      <c r="M7" s="587" t="s">
        <v>1229</v>
      </c>
    </row>
    <row r="8" spans="1:13" s="792" customFormat="1" ht="33">
      <c r="A8" s="366">
        <v>1</v>
      </c>
      <c r="B8" s="589" t="s">
        <v>26</v>
      </c>
      <c r="C8" s="437" t="s">
        <v>1038</v>
      </c>
      <c r="D8" s="590">
        <f aca="true" t="shared" si="0" ref="D8:K8">SUM(D10:D12)</f>
        <v>36205.524</v>
      </c>
      <c r="E8" s="590">
        <f t="shared" si="0"/>
        <v>41040.164</v>
      </c>
      <c r="F8" s="590">
        <f t="shared" si="0"/>
        <v>45984.86</v>
      </c>
      <c r="G8" s="590">
        <f t="shared" si="0"/>
        <v>51275.2</v>
      </c>
      <c r="H8" s="590">
        <f t="shared" si="0"/>
        <v>57200</v>
      </c>
      <c r="I8" s="590">
        <f t="shared" si="0"/>
        <v>24075.2</v>
      </c>
      <c r="J8" s="590">
        <f t="shared" si="0"/>
        <v>57200</v>
      </c>
      <c r="K8" s="590">
        <f t="shared" si="0"/>
        <v>63880</v>
      </c>
      <c r="L8" s="601">
        <f>J8/G8*100</f>
        <v>111.554903735139</v>
      </c>
      <c r="M8" s="591">
        <f>K8/J8*100</f>
        <v>111.67832167832168</v>
      </c>
    </row>
    <row r="9" spans="1:13" s="792" customFormat="1" ht="16.5">
      <c r="A9" s="586"/>
      <c r="B9" s="592" t="s">
        <v>1049</v>
      </c>
      <c r="C9" s="593"/>
      <c r="D9" s="586"/>
      <c r="E9" s="586"/>
      <c r="F9" s="586"/>
      <c r="G9" s="586"/>
      <c r="H9" s="594"/>
      <c r="I9" s="595"/>
      <c r="J9" s="595"/>
      <c r="K9" s="586"/>
      <c r="L9" s="596"/>
      <c r="M9" s="592"/>
    </row>
    <row r="10" spans="1:13" s="792" customFormat="1" ht="16.5">
      <c r="A10" s="586"/>
      <c r="B10" s="597" t="s">
        <v>119</v>
      </c>
      <c r="C10" s="437" t="s">
        <v>1038</v>
      </c>
      <c r="D10" s="793">
        <v>23462.499</v>
      </c>
      <c r="E10" s="793">
        <v>26808.382</v>
      </c>
      <c r="F10" s="793">
        <v>30122.43</v>
      </c>
      <c r="G10" s="598">
        <v>33615.7</v>
      </c>
      <c r="H10" s="599">
        <v>37490</v>
      </c>
      <c r="I10" s="598">
        <v>15386</v>
      </c>
      <c r="J10" s="598">
        <f>H10</f>
        <v>37490</v>
      </c>
      <c r="K10" s="599">
        <v>41800</v>
      </c>
      <c r="L10" s="600">
        <f>J10/G10*100</f>
        <v>111.52526944255214</v>
      </c>
      <c r="M10" s="600">
        <f>K10/J10*100</f>
        <v>111.49639903974393</v>
      </c>
    </row>
    <row r="11" spans="1:13" s="792" customFormat="1" ht="16.5">
      <c r="A11" s="586"/>
      <c r="B11" s="597" t="s">
        <v>120</v>
      </c>
      <c r="C11" s="437" t="s">
        <v>1038</v>
      </c>
      <c r="D11" s="793">
        <v>8936.567</v>
      </c>
      <c r="E11" s="793">
        <v>10276.671</v>
      </c>
      <c r="F11" s="793">
        <v>11776.97</v>
      </c>
      <c r="G11" s="598">
        <v>13433.4</v>
      </c>
      <c r="H11" s="599">
        <v>15340</v>
      </c>
      <c r="I11" s="598">
        <v>7367.2</v>
      </c>
      <c r="J11" s="598">
        <f>H11</f>
        <v>15340</v>
      </c>
      <c r="K11" s="599">
        <v>17560</v>
      </c>
      <c r="L11" s="600">
        <f>J11/G11*100</f>
        <v>114.19298167254755</v>
      </c>
      <c r="M11" s="600">
        <f>K11/J11*100</f>
        <v>114.47196870925684</v>
      </c>
    </row>
    <row r="12" spans="1:13" s="792" customFormat="1" ht="16.5">
      <c r="A12" s="586"/>
      <c r="B12" s="597" t="s">
        <v>121</v>
      </c>
      <c r="C12" s="437" t="s">
        <v>1038</v>
      </c>
      <c r="D12" s="793">
        <v>3806.458</v>
      </c>
      <c r="E12" s="793">
        <v>3955.111</v>
      </c>
      <c r="F12" s="793">
        <v>4085.46</v>
      </c>
      <c r="G12" s="598">
        <v>4226.1</v>
      </c>
      <c r="H12" s="599">
        <v>4370</v>
      </c>
      <c r="I12" s="598">
        <v>1322</v>
      </c>
      <c r="J12" s="598">
        <f>H12</f>
        <v>4370</v>
      </c>
      <c r="K12" s="599">
        <v>4520</v>
      </c>
      <c r="L12" s="600">
        <f>J12/G12*100</f>
        <v>103.40503064290954</v>
      </c>
      <c r="M12" s="600">
        <f>K12/J12*100</f>
        <v>103.4324942791762</v>
      </c>
    </row>
    <row r="13" spans="1:15" s="156" customFormat="1" ht="33">
      <c r="A13" s="367"/>
      <c r="B13" s="589" t="s">
        <v>27</v>
      </c>
      <c r="C13" s="437" t="s">
        <v>1038</v>
      </c>
      <c r="D13" s="590">
        <f aca="true" t="shared" si="1" ref="D13:K13">SUM(D15:D17)</f>
        <v>76024.68</v>
      </c>
      <c r="E13" s="590">
        <f t="shared" si="1"/>
        <v>85607.88</v>
      </c>
      <c r="F13" s="590">
        <f t="shared" si="1"/>
        <v>95501.82999999999</v>
      </c>
      <c r="G13" s="590">
        <f t="shared" si="1"/>
        <v>106074.38</v>
      </c>
      <c r="H13" s="590">
        <f t="shared" si="1"/>
        <v>117755</v>
      </c>
      <c r="I13" s="590">
        <f t="shared" si="1"/>
        <v>56558.79</v>
      </c>
      <c r="J13" s="590">
        <f t="shared" si="1"/>
        <v>117866</v>
      </c>
      <c r="K13" s="590">
        <f t="shared" si="1"/>
        <v>131190</v>
      </c>
      <c r="L13" s="601">
        <f>J13/G13*100</f>
        <v>111.11636947583384</v>
      </c>
      <c r="M13" s="601">
        <f>K13/J13*100</f>
        <v>111.30436258123633</v>
      </c>
      <c r="O13" s="153"/>
    </row>
    <row r="14" spans="1:13" s="794" customFormat="1" ht="17.25">
      <c r="A14" s="602"/>
      <c r="B14" s="592" t="s">
        <v>1049</v>
      </c>
      <c r="C14" s="593"/>
      <c r="D14" s="593"/>
      <c r="E14" s="593"/>
      <c r="F14" s="603"/>
      <c r="G14" s="603"/>
      <c r="H14" s="604"/>
      <c r="I14" s="605"/>
      <c r="J14" s="605"/>
      <c r="K14" s="605"/>
      <c r="L14" s="606"/>
      <c r="M14" s="606"/>
    </row>
    <row r="15" spans="1:16" ht="16.5">
      <c r="A15" s="437"/>
      <c r="B15" s="597" t="s">
        <v>119</v>
      </c>
      <c r="C15" s="437" t="s">
        <v>1038</v>
      </c>
      <c r="D15" s="639">
        <v>43488.31</v>
      </c>
      <c r="E15" s="640">
        <v>48865.26</v>
      </c>
      <c r="F15" s="598">
        <v>54536.16</v>
      </c>
      <c r="G15" s="598">
        <v>60501.2</v>
      </c>
      <c r="H15" s="628">
        <v>67150</v>
      </c>
      <c r="I15" s="628">
        <v>31217.57</v>
      </c>
      <c r="J15" s="628">
        <f>70282-3100</f>
        <v>67182</v>
      </c>
      <c r="K15" s="608">
        <v>74640</v>
      </c>
      <c r="L15" s="600">
        <f>J15/G15*100</f>
        <v>111.04242560478139</v>
      </c>
      <c r="M15" s="600">
        <f>K15/J15*100</f>
        <v>111.10118781816558</v>
      </c>
      <c r="O15" s="795">
        <f aca="true" t="shared" si="2" ref="O15:P17">J15/J10</f>
        <v>1.7919978660976261</v>
      </c>
      <c r="P15" s="795">
        <f t="shared" si="2"/>
        <v>1.7856459330143541</v>
      </c>
    </row>
    <row r="16" spans="1:16" ht="16.5">
      <c r="A16" s="437"/>
      <c r="B16" s="597" t="s">
        <v>120</v>
      </c>
      <c r="C16" s="437" t="s">
        <v>1038</v>
      </c>
      <c r="D16" s="639">
        <f>76024.68-D15-D17</f>
        <v>25999.289999999994</v>
      </c>
      <c r="E16" s="639">
        <f>85607.88-E15-E17</f>
        <v>29958.710000000003</v>
      </c>
      <c r="F16" s="639">
        <f>95501.83-F15-F17</f>
        <v>33986.24</v>
      </c>
      <c r="G16" s="639">
        <f>106074.38-G15-G17</f>
        <v>38376.58000000001</v>
      </c>
      <c r="H16" s="628">
        <v>43180</v>
      </c>
      <c r="I16" s="628">
        <v>21695.7</v>
      </c>
      <c r="J16" s="628">
        <v>43249</v>
      </c>
      <c r="K16" s="608">
        <v>48870</v>
      </c>
      <c r="L16" s="600">
        <f>J16/G16*100</f>
        <v>112.69633719315266</v>
      </c>
      <c r="M16" s="600">
        <f>K16/J16*100</f>
        <v>112.9968322967005</v>
      </c>
      <c r="O16" s="795">
        <f t="shared" si="2"/>
        <v>2.819361147327249</v>
      </c>
      <c r="P16" s="795">
        <f t="shared" si="2"/>
        <v>2.7830296127562644</v>
      </c>
    </row>
    <row r="17" spans="1:16" ht="16.5">
      <c r="A17" s="437"/>
      <c r="B17" s="597" t="s">
        <v>121</v>
      </c>
      <c r="C17" s="437" t="s">
        <v>1038</v>
      </c>
      <c r="D17" s="639">
        <v>6537.08</v>
      </c>
      <c r="E17" s="640">
        <v>6783.91</v>
      </c>
      <c r="F17" s="598">
        <v>6979.43</v>
      </c>
      <c r="G17" s="598">
        <v>7196.6</v>
      </c>
      <c r="H17" s="628">
        <v>7425</v>
      </c>
      <c r="I17" s="628">
        <v>3645.52</v>
      </c>
      <c r="J17" s="628">
        <f>7465-30</f>
        <v>7435</v>
      </c>
      <c r="K17" s="608">
        <v>7680</v>
      </c>
      <c r="L17" s="600">
        <f>J17/G17*100</f>
        <v>103.31267543006419</v>
      </c>
      <c r="M17" s="600">
        <f>K17/J17*100</f>
        <v>103.29522528581036</v>
      </c>
      <c r="O17" s="795">
        <f t="shared" si="2"/>
        <v>1.7013729977116705</v>
      </c>
      <c r="P17" s="795">
        <f t="shared" si="2"/>
        <v>1.6991150442477876</v>
      </c>
    </row>
    <row r="18" spans="1:13" s="156" customFormat="1" ht="33">
      <c r="A18" s="367">
        <v>2</v>
      </c>
      <c r="B18" s="589" t="s">
        <v>28</v>
      </c>
      <c r="C18" s="437" t="s">
        <v>1038</v>
      </c>
      <c r="D18" s="609">
        <f aca="true" t="shared" si="3" ref="D18:K18">SUM(D20:D22)</f>
        <v>76024.68</v>
      </c>
      <c r="E18" s="609">
        <f t="shared" si="3"/>
        <v>98759.22</v>
      </c>
      <c r="F18" s="609">
        <f t="shared" si="3"/>
        <v>117414.1</v>
      </c>
      <c r="G18" s="609">
        <f t="shared" si="3"/>
        <v>140092</v>
      </c>
      <c r="H18" s="609">
        <f t="shared" si="3"/>
        <v>161800</v>
      </c>
      <c r="I18" s="609">
        <f t="shared" si="3"/>
        <v>79737</v>
      </c>
      <c r="J18" s="609">
        <f t="shared" si="3"/>
        <v>162150</v>
      </c>
      <c r="K18" s="590">
        <f t="shared" si="3"/>
        <v>187390</v>
      </c>
      <c r="L18" s="591">
        <f>J18/G18*100</f>
        <v>115.74536733004027</v>
      </c>
      <c r="M18" s="591">
        <f>K18/J18*100</f>
        <v>115.56583410422448</v>
      </c>
    </row>
    <row r="19" spans="1:13" s="156" customFormat="1" ht="16.5">
      <c r="A19" s="367"/>
      <c r="B19" s="592" t="s">
        <v>1049</v>
      </c>
      <c r="C19" s="593"/>
      <c r="D19" s="610"/>
      <c r="E19" s="610"/>
      <c r="F19" s="611"/>
      <c r="G19" s="611"/>
      <c r="H19" s="611"/>
      <c r="I19" s="611"/>
      <c r="J19" s="611"/>
      <c r="K19" s="612"/>
      <c r="L19" s="612"/>
      <c r="M19" s="612"/>
    </row>
    <row r="20" spans="1:16" ht="16.5">
      <c r="A20" s="437"/>
      <c r="B20" s="597" t="s">
        <v>119</v>
      </c>
      <c r="C20" s="437" t="s">
        <v>1038</v>
      </c>
      <c r="D20" s="639">
        <v>43488.31</v>
      </c>
      <c r="E20" s="639">
        <v>56589.76</v>
      </c>
      <c r="F20" s="642">
        <v>66926.03</v>
      </c>
      <c r="G20" s="628">
        <v>79710.9</v>
      </c>
      <c r="H20" s="628">
        <v>91950</v>
      </c>
      <c r="I20" s="628">
        <v>45430</v>
      </c>
      <c r="J20" s="628">
        <v>92319</v>
      </c>
      <c r="K20" s="613">
        <v>106160</v>
      </c>
      <c r="L20" s="600">
        <f>J20/G20*100</f>
        <v>115.81728471263028</v>
      </c>
      <c r="M20" s="600">
        <f>K20/J20*100</f>
        <v>114.99258007560739</v>
      </c>
      <c r="O20" s="796">
        <f aca="true" t="shared" si="4" ref="O20:P22">J20/J10</f>
        <v>2.462496665777541</v>
      </c>
      <c r="P20" s="796">
        <f t="shared" si="4"/>
        <v>2.539712918660287</v>
      </c>
    </row>
    <row r="21" spans="1:16" ht="16.5">
      <c r="A21" s="437"/>
      <c r="B21" s="597" t="s">
        <v>120</v>
      </c>
      <c r="C21" s="437" t="s">
        <v>1038</v>
      </c>
      <c r="D21" s="639">
        <f>76024.68-D20-D22</f>
        <v>25999.289999999994</v>
      </c>
      <c r="E21" s="639">
        <f>98759.22-E20-E22</f>
        <v>34760.119999999995</v>
      </c>
      <c r="F21" s="639">
        <f>117414.1-F20-F22</f>
        <v>42503.920000000006</v>
      </c>
      <c r="G21" s="628">
        <v>51559.9</v>
      </c>
      <c r="H21" s="628">
        <v>60500</v>
      </c>
      <c r="I21" s="628">
        <v>29533</v>
      </c>
      <c r="J21" s="628">
        <v>60173</v>
      </c>
      <c r="K21" s="613">
        <v>70700</v>
      </c>
      <c r="L21" s="600">
        <f>J21/G21*100</f>
        <v>116.70503627819294</v>
      </c>
      <c r="M21" s="600">
        <f>K21/J21*100</f>
        <v>117.49455735961311</v>
      </c>
      <c r="O21" s="796">
        <f t="shared" si="4"/>
        <v>3.922620599739244</v>
      </c>
      <c r="P21" s="796">
        <f t="shared" si="4"/>
        <v>4.026195899772209</v>
      </c>
    </row>
    <row r="22" spans="1:16" ht="16.5">
      <c r="A22" s="437"/>
      <c r="B22" s="597" t="s">
        <v>121</v>
      </c>
      <c r="C22" s="437" t="s">
        <v>1038</v>
      </c>
      <c r="D22" s="639">
        <v>6537.08</v>
      </c>
      <c r="E22" s="639">
        <v>7409.34</v>
      </c>
      <c r="F22" s="642">
        <v>7984.15</v>
      </c>
      <c r="G22" s="628">
        <v>8821.2</v>
      </c>
      <c r="H22" s="628">
        <v>9350</v>
      </c>
      <c r="I22" s="628">
        <f>4784-10</f>
        <v>4774</v>
      </c>
      <c r="J22" s="628">
        <f>I22*2+110</f>
        <v>9658</v>
      </c>
      <c r="K22" s="613">
        <v>10530</v>
      </c>
      <c r="L22" s="600">
        <f>J22/G22*100</f>
        <v>109.48623770008614</v>
      </c>
      <c r="M22" s="600">
        <f>K22/J22*100</f>
        <v>109.02878442741768</v>
      </c>
      <c r="O22" s="796">
        <f t="shared" si="4"/>
        <v>2.2100686498855837</v>
      </c>
      <c r="P22" s="796">
        <f t="shared" si="4"/>
        <v>2.329646017699115</v>
      </c>
    </row>
    <row r="23" spans="1:15" s="156" customFormat="1" ht="16.5">
      <c r="A23" s="367">
        <v>3</v>
      </c>
      <c r="B23" s="614" t="s">
        <v>196</v>
      </c>
      <c r="C23" s="437" t="s">
        <v>154</v>
      </c>
      <c r="D23" s="437"/>
      <c r="E23" s="437"/>
      <c r="F23" s="615">
        <f>F18/'3. XH'!D9*1000</f>
        <v>42.40809312190105</v>
      </c>
      <c r="G23" s="615">
        <f>G18/'3. XH'!D9*1000</f>
        <v>50.59898752903919</v>
      </c>
      <c r="H23" s="615">
        <f>H18/'3. XH'!E9*1000</f>
        <v>57.32289333938448</v>
      </c>
      <c r="I23" s="616" t="s">
        <v>442</v>
      </c>
      <c r="J23" s="615">
        <f>J18/'3. XH'!G9*1000</f>
        <v>57.446892181589575</v>
      </c>
      <c r="K23" s="615">
        <f>K18/'3. XH'!H9*1000</f>
        <v>64.39518900343643</v>
      </c>
      <c r="L23" s="600">
        <f>J23/G23*100</f>
        <v>113.53367920379891</v>
      </c>
      <c r="M23" s="600">
        <f>K23/J23*100</f>
        <v>112.09516574000781</v>
      </c>
      <c r="O23" s="797">
        <f>K23/21.4*1000</f>
        <v>3009.120981468992</v>
      </c>
    </row>
    <row r="24" spans="1:13" s="156" customFormat="1" ht="33">
      <c r="A24" s="367">
        <v>4</v>
      </c>
      <c r="B24" s="589" t="s">
        <v>443</v>
      </c>
      <c r="C24" s="437"/>
      <c r="D24" s="617">
        <f>SUM(D25:D27)</f>
        <v>100</v>
      </c>
      <c r="E24" s="617">
        <f>SUM(E25:E27)</f>
        <v>100</v>
      </c>
      <c r="F24" s="617">
        <f>SUM(F25:F27)</f>
        <v>100</v>
      </c>
      <c r="G24" s="617"/>
      <c r="H24" s="617">
        <f>SUM(H25:H27)</f>
        <v>100</v>
      </c>
      <c r="I24" s="616" t="s">
        <v>442</v>
      </c>
      <c r="J24" s="617">
        <f>SUM(J25:J27)</f>
        <v>100</v>
      </c>
      <c r="K24" s="617">
        <f>SUM(K25:K27)</f>
        <v>100</v>
      </c>
      <c r="L24" s="612"/>
      <c r="M24" s="612"/>
    </row>
    <row r="25" spans="1:13" ht="16.5">
      <c r="A25" s="437"/>
      <c r="B25" s="597" t="s">
        <v>119</v>
      </c>
      <c r="C25" s="437" t="s">
        <v>1040</v>
      </c>
      <c r="D25" s="618">
        <f aca="true" t="shared" si="5" ref="D25:E27">D20/D$18*100</f>
        <v>57.20288464219777</v>
      </c>
      <c r="E25" s="618">
        <f t="shared" si="5"/>
        <v>57.300736073047155</v>
      </c>
      <c r="F25" s="618">
        <f aca="true" t="shared" si="6" ref="F25:H27">F20/F$18*100</f>
        <v>56.99999403819472</v>
      </c>
      <c r="G25" s="618">
        <f>G20/G$18*100</f>
        <v>56.89896639351283</v>
      </c>
      <c r="H25" s="618">
        <f t="shared" si="6"/>
        <v>56.829419035846726</v>
      </c>
      <c r="I25" s="619" t="s">
        <v>442</v>
      </c>
      <c r="J25" s="618">
        <f aca="true" t="shared" si="7" ref="J25:K27">J20/J$18*100</f>
        <v>56.93432007400555</v>
      </c>
      <c r="K25" s="618">
        <f t="shared" si="7"/>
        <v>56.65190244943701</v>
      </c>
      <c r="L25" s="620"/>
      <c r="M25" s="620"/>
    </row>
    <row r="26" spans="1:13" ht="16.5">
      <c r="A26" s="437"/>
      <c r="B26" s="597" t="s">
        <v>120</v>
      </c>
      <c r="C26" s="437" t="s">
        <v>1040</v>
      </c>
      <c r="D26" s="618">
        <f t="shared" si="5"/>
        <v>34.198486596720954</v>
      </c>
      <c r="E26" s="618">
        <f t="shared" si="5"/>
        <v>35.19683529294783</v>
      </c>
      <c r="F26" s="618">
        <f t="shared" si="6"/>
        <v>36.20001345664618</v>
      </c>
      <c r="G26" s="618">
        <f>G21/G$18*100</f>
        <v>36.804314307740626</v>
      </c>
      <c r="H26" s="618">
        <f t="shared" si="6"/>
        <v>37.39184177997528</v>
      </c>
      <c r="I26" s="619" t="s">
        <v>442</v>
      </c>
      <c r="J26" s="618">
        <f t="shared" si="7"/>
        <v>37.10946654332408</v>
      </c>
      <c r="K26" s="618">
        <f t="shared" si="7"/>
        <v>37.72880089652596</v>
      </c>
      <c r="L26" s="620"/>
      <c r="M26" s="620"/>
    </row>
    <row r="27" spans="1:13" ht="16.5">
      <c r="A27" s="437"/>
      <c r="B27" s="597" t="s">
        <v>121</v>
      </c>
      <c r="C27" s="437" t="s">
        <v>1040</v>
      </c>
      <c r="D27" s="618">
        <f t="shared" si="5"/>
        <v>8.59862876108127</v>
      </c>
      <c r="E27" s="618">
        <f t="shared" si="5"/>
        <v>7.502428634005007</v>
      </c>
      <c r="F27" s="618">
        <f t="shared" si="6"/>
        <v>6.79999250515909</v>
      </c>
      <c r="G27" s="618">
        <f>G22/G$18*100</f>
        <v>6.296719298746538</v>
      </c>
      <c r="H27" s="618">
        <f t="shared" si="6"/>
        <v>5.778739184177997</v>
      </c>
      <c r="I27" s="619" t="s">
        <v>442</v>
      </c>
      <c r="J27" s="618">
        <f t="shared" si="7"/>
        <v>5.9562133826703665</v>
      </c>
      <c r="K27" s="618">
        <f t="shared" si="7"/>
        <v>5.619296654037035</v>
      </c>
      <c r="L27" s="620"/>
      <c r="M27" s="620"/>
    </row>
    <row r="28" spans="1:13" s="156" customFormat="1" ht="33">
      <c r="A28" s="367">
        <v>5</v>
      </c>
      <c r="B28" s="589" t="s">
        <v>444</v>
      </c>
      <c r="C28" s="437"/>
      <c r="D28" s="437"/>
      <c r="E28" s="437"/>
      <c r="F28" s="621">
        <f>SUM(F29:F32)</f>
        <v>100</v>
      </c>
      <c r="G28" s="621"/>
      <c r="H28" s="621">
        <f>SUM(H29:H32)</f>
        <v>100</v>
      </c>
      <c r="I28" s="621">
        <f>SUM(I29:I32)</f>
        <v>0</v>
      </c>
      <c r="J28" s="621">
        <f>SUM(J29:J32)</f>
        <v>100</v>
      </c>
      <c r="K28" s="621">
        <f>SUM(K29:K32)</f>
        <v>100</v>
      </c>
      <c r="L28" s="612"/>
      <c r="M28" s="612"/>
    </row>
    <row r="29" spans="1:13" ht="16.5">
      <c r="A29" s="437"/>
      <c r="B29" s="597" t="s">
        <v>1044</v>
      </c>
      <c r="C29" s="437" t="s">
        <v>1040</v>
      </c>
      <c r="D29" s="437"/>
      <c r="E29" s="437"/>
      <c r="F29" s="622">
        <v>9</v>
      </c>
      <c r="G29" s="798">
        <v>8.5</v>
      </c>
      <c r="H29" s="798">
        <v>8.5</v>
      </c>
      <c r="I29" s="798"/>
      <c r="J29" s="798">
        <v>8.4</v>
      </c>
      <c r="K29" s="622">
        <v>8.5</v>
      </c>
      <c r="L29" s="620"/>
      <c r="M29" s="620"/>
    </row>
    <row r="30" spans="1:13" ht="16.5">
      <c r="A30" s="437"/>
      <c r="B30" s="597" t="s">
        <v>1045</v>
      </c>
      <c r="C30" s="437" t="s">
        <v>1040</v>
      </c>
      <c r="D30" s="437"/>
      <c r="E30" s="437"/>
      <c r="F30" s="622">
        <v>7.4</v>
      </c>
      <c r="G30" s="798">
        <v>7.1</v>
      </c>
      <c r="H30" s="798">
        <v>7</v>
      </c>
      <c r="I30" s="798"/>
      <c r="J30" s="798">
        <v>7.05</v>
      </c>
      <c r="K30" s="622">
        <v>7</v>
      </c>
      <c r="L30" s="620"/>
      <c r="M30" s="620"/>
    </row>
    <row r="31" spans="1:13" ht="16.5">
      <c r="A31" s="437"/>
      <c r="B31" s="597" t="s">
        <v>1046</v>
      </c>
      <c r="C31" s="437" t="s">
        <v>1040</v>
      </c>
      <c r="D31" s="437"/>
      <c r="E31" s="437"/>
      <c r="F31" s="622">
        <v>38.3</v>
      </c>
      <c r="G31" s="798">
        <v>38.4</v>
      </c>
      <c r="H31" s="798">
        <v>38.8</v>
      </c>
      <c r="I31" s="798"/>
      <c r="J31" s="798">
        <v>38.72</v>
      </c>
      <c r="K31" s="622">
        <v>38.8</v>
      </c>
      <c r="L31" s="620"/>
      <c r="M31" s="620"/>
    </row>
    <row r="32" spans="1:13" ht="16.5">
      <c r="A32" s="437"/>
      <c r="B32" s="597" t="s">
        <v>189</v>
      </c>
      <c r="C32" s="437" t="s">
        <v>1040</v>
      </c>
      <c r="D32" s="437"/>
      <c r="E32" s="437"/>
      <c r="F32" s="622">
        <v>45.3</v>
      </c>
      <c r="G32" s="798">
        <v>46</v>
      </c>
      <c r="H32" s="798">
        <v>45.7</v>
      </c>
      <c r="I32" s="798"/>
      <c r="J32" s="798">
        <v>45.83</v>
      </c>
      <c r="K32" s="622">
        <v>45.7</v>
      </c>
      <c r="L32" s="620"/>
      <c r="M32" s="620"/>
    </row>
    <row r="33" spans="1:13" ht="16.5">
      <c r="A33" s="367">
        <v>6</v>
      </c>
      <c r="B33" s="589" t="s">
        <v>1008</v>
      </c>
      <c r="C33" s="437" t="s">
        <v>1038</v>
      </c>
      <c r="D33" s="437"/>
      <c r="E33" s="437"/>
      <c r="F33" s="622"/>
      <c r="G33" s="622"/>
      <c r="H33" s="622"/>
      <c r="I33" s="622"/>
      <c r="J33" s="622"/>
      <c r="K33" s="622"/>
      <c r="L33" s="620"/>
      <c r="M33" s="620"/>
    </row>
    <row r="34" spans="1:13" ht="16.5">
      <c r="A34" s="437"/>
      <c r="B34" s="597" t="s">
        <v>117</v>
      </c>
      <c r="C34" s="437" t="s">
        <v>1038</v>
      </c>
      <c r="D34" s="623">
        <f>'2. CN NN DV'!D9</f>
        <v>21519.634</v>
      </c>
      <c r="E34" s="623">
        <f>'2. CN NN DV'!E9</f>
        <v>30330.751</v>
      </c>
      <c r="F34" s="623">
        <f>'2. CN NN DV'!F9</f>
        <v>31212.796</v>
      </c>
      <c r="G34" s="624">
        <f>'2. CN NN DV'!G9</f>
        <v>32245.617</v>
      </c>
      <c r="H34" s="624">
        <f>'2. CN NN DV'!H9</f>
        <v>34500</v>
      </c>
      <c r="I34" s="624">
        <f>'2. CN NN DV'!I9</f>
        <v>16560</v>
      </c>
      <c r="J34" s="624">
        <f>'2. CN NN DV'!J9</f>
        <v>34560</v>
      </c>
      <c r="K34" s="624">
        <f>'2. CN NN DV'!K9</f>
        <v>37150</v>
      </c>
      <c r="L34" s="600">
        <f>J34/G34*100</f>
        <v>107.17735684821909</v>
      </c>
      <c r="M34" s="600">
        <f>K34/J34*100</f>
        <v>107.49421296296295</v>
      </c>
    </row>
    <row r="35" spans="1:13" ht="16.5">
      <c r="A35" s="437"/>
      <c r="B35" s="597" t="s">
        <v>118</v>
      </c>
      <c r="C35" s="437" t="s">
        <v>1038</v>
      </c>
      <c r="D35" s="624">
        <f>'2. CN NN DV'!D67+'2. CN NN DV'!D113</f>
        <v>335448.856</v>
      </c>
      <c r="E35" s="624">
        <f>'2. CN NN DV'!E67+'2. CN NN DV'!E113</f>
        <v>455346.232</v>
      </c>
      <c r="F35" s="624">
        <f>'2. CN NN DV'!F67+'2. CN NN DV'!F113</f>
        <v>535666.201</v>
      </c>
      <c r="G35" s="624">
        <f>'2. CN NN DV'!G67+'2. CN NN DV'!G113</f>
        <v>622676.845</v>
      </c>
      <c r="H35" s="624">
        <f>'2. CN NN DV'!H67+'2. CN NN DV'!H113</f>
        <v>716700</v>
      </c>
      <c r="I35" s="624">
        <f>'2. CN NN DV'!I67+'2. CN NN DV'!I113</f>
        <v>9801.3</v>
      </c>
      <c r="J35" s="624">
        <f>'2. CN NN DV'!J67+'2. CN NN DV'!J113</f>
        <v>729500</v>
      </c>
      <c r="K35" s="624">
        <f>'2. CN NN DV'!K67+'2. CN NN DV'!K113</f>
        <v>861700</v>
      </c>
      <c r="L35" s="600">
        <f>J35/G35*100</f>
        <v>117.15547251480021</v>
      </c>
      <c r="M35" s="600">
        <f>K35/J35*100</f>
        <v>118.12200137080191</v>
      </c>
    </row>
    <row r="36" spans="1:13" ht="16.5">
      <c r="A36" s="437"/>
      <c r="B36" s="597" t="s">
        <v>1043</v>
      </c>
      <c r="C36" s="437" t="s">
        <v>1038</v>
      </c>
      <c r="D36" s="437"/>
      <c r="E36" s="437"/>
      <c r="F36" s="622"/>
      <c r="G36" s="622">
        <f>G21</f>
        <v>51559.9</v>
      </c>
      <c r="H36" s="622">
        <f>H21</f>
        <v>60500</v>
      </c>
      <c r="I36" s="622">
        <f>I21</f>
        <v>29533</v>
      </c>
      <c r="J36" s="622">
        <f>J21</f>
        <v>60173</v>
      </c>
      <c r="K36" s="622">
        <f>K21</f>
        <v>70700</v>
      </c>
      <c r="L36" s="600">
        <f>J36/G36*100</f>
        <v>116.70503627819294</v>
      </c>
      <c r="M36" s="600">
        <f>K36/J36*100</f>
        <v>117.49455735961311</v>
      </c>
    </row>
    <row r="37" spans="1:13" ht="16.5">
      <c r="A37" s="437"/>
      <c r="B37" s="589" t="s">
        <v>445</v>
      </c>
      <c r="C37" s="437" t="s">
        <v>1038</v>
      </c>
      <c r="D37" s="437"/>
      <c r="E37" s="437"/>
      <c r="F37" s="622"/>
      <c r="G37" s="622"/>
      <c r="H37" s="622"/>
      <c r="I37" s="622"/>
      <c r="J37" s="622"/>
      <c r="K37" s="622"/>
      <c r="L37" s="620"/>
      <c r="M37" s="620"/>
    </row>
    <row r="38" spans="1:13" ht="16.5">
      <c r="A38" s="437"/>
      <c r="B38" s="597" t="s">
        <v>117</v>
      </c>
      <c r="C38" s="437" t="s">
        <v>1038</v>
      </c>
      <c r="D38" s="623">
        <f>'2. CN NN DV'!D10</f>
        <v>7792</v>
      </c>
      <c r="E38" s="623">
        <f>'2. CN NN DV'!E10</f>
        <v>8103</v>
      </c>
      <c r="F38" s="623">
        <f>'2. CN NN DV'!F10</f>
        <v>8524.5</v>
      </c>
      <c r="G38" s="623">
        <f>'2. CN NN DV'!G10</f>
        <v>8867.6</v>
      </c>
      <c r="H38" s="623">
        <f>'2. CN NN DV'!H10</f>
        <v>9260</v>
      </c>
      <c r="I38" s="623">
        <f>'2. CN NN DV'!I10</f>
        <v>4300</v>
      </c>
      <c r="J38" s="623">
        <f>'2. CN NN DV'!J10</f>
        <v>9260</v>
      </c>
      <c r="K38" s="623">
        <f>'2. CN NN DV'!K10</f>
        <v>9680</v>
      </c>
      <c r="L38" s="600">
        <f>J38/G38*100</f>
        <v>104.42509810997338</v>
      </c>
      <c r="M38" s="600">
        <f>K38/J38*100</f>
        <v>104.53563714902808</v>
      </c>
    </row>
    <row r="39" spans="1:13" ht="16.5">
      <c r="A39" s="437"/>
      <c r="B39" s="597" t="s">
        <v>118</v>
      </c>
      <c r="C39" s="437" t="s">
        <v>1038</v>
      </c>
      <c r="D39" s="624">
        <f>'2. CN NN DV'!D68+'2. CN NN DV'!D114</f>
        <v>108573</v>
      </c>
      <c r="E39" s="624">
        <f>'2. CN NN DV'!E68+'2. CN NN DV'!E114</f>
        <v>127209</v>
      </c>
      <c r="F39" s="624">
        <f>'2. CN NN DV'!F68+'2. CN NN DV'!F114</f>
        <v>148990</v>
      </c>
      <c r="G39" s="624">
        <f>'2. CN NN DV'!G68+'2. CN NN DV'!G114</f>
        <v>169854</v>
      </c>
      <c r="H39" s="624">
        <f>'2. CN NN DV'!H68+'2. CN NN DV'!H114</f>
        <v>192770</v>
      </c>
      <c r="I39" s="624">
        <f>'2. CN NN DV'!I68+'2. CN NN DV'!I114</f>
        <v>6120.400000000001</v>
      </c>
      <c r="J39" s="624">
        <f>'2. CN NN DV'!J68+'2. CN NN DV'!J114</f>
        <v>194250</v>
      </c>
      <c r="K39" s="624">
        <f>'2. CN NN DV'!K68+'2. CN NN DV'!K114</f>
        <v>222330</v>
      </c>
      <c r="L39" s="600">
        <f>J39/G39*100</f>
        <v>114.36292345190576</v>
      </c>
      <c r="M39" s="600">
        <f>K39/J39*100</f>
        <v>114.45559845559845</v>
      </c>
    </row>
    <row r="40" spans="1:13" ht="16.5">
      <c r="A40" s="437"/>
      <c r="B40" s="597" t="s">
        <v>1043</v>
      </c>
      <c r="C40" s="437" t="s">
        <v>1038</v>
      </c>
      <c r="D40" s="437"/>
      <c r="E40" s="437"/>
      <c r="F40" s="625">
        <f>F11</f>
        <v>11776.97</v>
      </c>
      <c r="G40" s="625">
        <f>G11</f>
        <v>13433.4</v>
      </c>
      <c r="H40" s="625">
        <v>13533.2</v>
      </c>
      <c r="I40" s="626">
        <f>I11</f>
        <v>7367.2</v>
      </c>
      <c r="J40" s="625">
        <f>J11</f>
        <v>15340</v>
      </c>
      <c r="K40" s="625">
        <f>K11</f>
        <v>17560</v>
      </c>
      <c r="L40" s="600">
        <f>J40/G40*100</f>
        <v>114.19298167254755</v>
      </c>
      <c r="M40" s="600">
        <f>K40/J40*100</f>
        <v>114.47196870925684</v>
      </c>
    </row>
    <row r="41" spans="1:13" s="156" customFormat="1" ht="16.5">
      <c r="A41" s="367"/>
      <c r="B41" s="589" t="s">
        <v>446</v>
      </c>
      <c r="C41" s="437" t="s">
        <v>1038</v>
      </c>
      <c r="D41" s="437"/>
      <c r="E41" s="437"/>
      <c r="F41" s="622"/>
      <c r="G41" s="622"/>
      <c r="H41" s="622"/>
      <c r="I41" s="612"/>
      <c r="J41" s="627"/>
      <c r="K41" s="627"/>
      <c r="L41" s="600"/>
      <c r="M41" s="600"/>
    </row>
    <row r="42" spans="1:13" ht="16.5">
      <c r="A42" s="437"/>
      <c r="B42" s="597" t="s">
        <v>117</v>
      </c>
      <c r="C42" s="437" t="s">
        <v>1038</v>
      </c>
      <c r="D42" s="437"/>
      <c r="E42" s="437"/>
      <c r="F42" s="608">
        <v>14610</v>
      </c>
      <c r="G42" s="608">
        <f>'2. CN NN DV'!G11</f>
        <v>26323</v>
      </c>
      <c r="H42" s="608">
        <f>'2. CN NN DV'!H11</f>
        <v>27204</v>
      </c>
      <c r="I42" s="608">
        <f>'2. CN NN DV'!I11</f>
        <v>12581</v>
      </c>
      <c r="J42" s="608">
        <f>'2. CN NN DV'!J11</f>
        <v>27279</v>
      </c>
      <c r="K42" s="608">
        <f>'2. CN NN DV'!K11</f>
        <v>28306.591000000004</v>
      </c>
      <c r="L42" s="600">
        <f aca="true" t="shared" si="8" ref="L42:L50">J42/G42*100</f>
        <v>103.63180488546138</v>
      </c>
      <c r="M42" s="600">
        <f aca="true" t="shared" si="9" ref="M42:M50">K42/J42*100</f>
        <v>103.76696726419593</v>
      </c>
    </row>
    <row r="43" spans="1:13" ht="16.5">
      <c r="A43" s="437"/>
      <c r="B43" s="815" t="s">
        <v>118</v>
      </c>
      <c r="C43" s="816" t="s">
        <v>1038</v>
      </c>
      <c r="D43" s="816"/>
      <c r="E43" s="816"/>
      <c r="F43" s="817">
        <v>271550</v>
      </c>
      <c r="G43" s="817">
        <f>'2. CN NN DV'!G69+'2. CN NN DV'!G115</f>
        <v>473012.73</v>
      </c>
      <c r="H43" s="817">
        <f>'2. CN NN DV'!H69+'2. CN NN DV'!H115</f>
        <v>586200</v>
      </c>
      <c r="I43" s="817">
        <f>'2. CN NN DV'!I69+'2. CN NN DV'!I115</f>
        <v>7432.403389940699</v>
      </c>
      <c r="J43" s="817">
        <f>'2. CN NN DV'!J69+'2. CN NN DV'!J115</f>
        <v>537324.144</v>
      </c>
      <c r="K43" s="817">
        <f>'2. CN NN DV'!K69+'2. CN NN DV'!K115</f>
        <v>610900</v>
      </c>
      <c r="L43" s="818">
        <f t="shared" si="8"/>
        <v>113.59612752916819</v>
      </c>
      <c r="M43" s="818">
        <f t="shared" si="9"/>
        <v>113.69301134549428</v>
      </c>
    </row>
    <row r="44" spans="1:13" ht="16.5">
      <c r="A44" s="437"/>
      <c r="B44" s="597" t="s">
        <v>1043</v>
      </c>
      <c r="C44" s="437" t="s">
        <v>1038</v>
      </c>
      <c r="D44" s="437"/>
      <c r="E44" s="437"/>
      <c r="F44" s="625">
        <f aca="true" t="shared" si="10" ref="F44:K44">F16</f>
        <v>33986.24</v>
      </c>
      <c r="G44" s="625">
        <f t="shared" si="10"/>
        <v>38376.58000000001</v>
      </c>
      <c r="H44" s="625">
        <f t="shared" si="10"/>
        <v>43180</v>
      </c>
      <c r="I44" s="625">
        <f t="shared" si="10"/>
        <v>21695.7</v>
      </c>
      <c r="J44" s="625">
        <f t="shared" si="10"/>
        <v>43249</v>
      </c>
      <c r="K44" s="625">
        <f t="shared" si="10"/>
        <v>48870</v>
      </c>
      <c r="L44" s="600">
        <f t="shared" si="8"/>
        <v>112.69633719315266</v>
      </c>
      <c r="M44" s="600">
        <f t="shared" si="9"/>
        <v>112.9968322967005</v>
      </c>
    </row>
    <row r="45" spans="1:13" s="156" customFormat="1" ht="33">
      <c r="A45" s="367">
        <v>7</v>
      </c>
      <c r="B45" s="819" t="s">
        <v>195</v>
      </c>
      <c r="C45" s="816" t="s">
        <v>1038</v>
      </c>
      <c r="D45" s="816"/>
      <c r="E45" s="816"/>
      <c r="F45" s="820">
        <v>86955</v>
      </c>
      <c r="G45" s="821">
        <v>98477.61</v>
      </c>
      <c r="H45" s="821">
        <v>112400</v>
      </c>
      <c r="I45" s="821">
        <v>53600.54</v>
      </c>
      <c r="J45" s="821">
        <v>111641.93</v>
      </c>
      <c r="K45" s="820">
        <v>117000</v>
      </c>
      <c r="L45" s="818">
        <f t="shared" si="8"/>
        <v>113.36783051497694</v>
      </c>
      <c r="M45" s="818">
        <f t="shared" si="9"/>
        <v>104.79933480189747</v>
      </c>
    </row>
    <row r="46" spans="1:13" s="156" customFormat="1" ht="33">
      <c r="A46" s="367">
        <v>8</v>
      </c>
      <c r="B46" s="819" t="s">
        <v>1118</v>
      </c>
      <c r="C46" s="816" t="s">
        <v>1051</v>
      </c>
      <c r="D46" s="816"/>
      <c r="E46" s="816"/>
      <c r="F46" s="821">
        <v>10489</v>
      </c>
      <c r="G46" s="821">
        <v>10915</v>
      </c>
      <c r="H46" s="821">
        <v>11860</v>
      </c>
      <c r="I46" s="821">
        <v>5825</v>
      </c>
      <c r="J46" s="821">
        <v>12432</v>
      </c>
      <c r="K46" s="822">
        <v>12324</v>
      </c>
      <c r="L46" s="818">
        <f t="shared" si="8"/>
        <v>113.89830508474577</v>
      </c>
      <c r="M46" s="818">
        <f t="shared" si="9"/>
        <v>99.13127413127413</v>
      </c>
    </row>
    <row r="47" spans="1:13" ht="33">
      <c r="A47" s="437"/>
      <c r="B47" s="823" t="s">
        <v>107</v>
      </c>
      <c r="C47" s="824" t="s">
        <v>1051</v>
      </c>
      <c r="D47" s="824"/>
      <c r="E47" s="824"/>
      <c r="F47" s="825">
        <v>1191.3</v>
      </c>
      <c r="G47" s="825">
        <v>1120</v>
      </c>
      <c r="H47" s="825">
        <v>1350</v>
      </c>
      <c r="I47" s="826">
        <v>559.5</v>
      </c>
      <c r="J47" s="827">
        <v>1227</v>
      </c>
      <c r="K47" s="828">
        <v>1266</v>
      </c>
      <c r="L47" s="818">
        <f t="shared" si="8"/>
        <v>109.55357142857143</v>
      </c>
      <c r="M47" s="818">
        <f t="shared" si="9"/>
        <v>103.17848410757946</v>
      </c>
    </row>
    <row r="48" spans="1:13" s="156" customFormat="1" ht="33">
      <c r="A48" s="367">
        <v>9</v>
      </c>
      <c r="B48" s="819" t="s">
        <v>1119</v>
      </c>
      <c r="C48" s="816" t="s">
        <v>1051</v>
      </c>
      <c r="D48" s="816"/>
      <c r="E48" s="816"/>
      <c r="F48" s="821">
        <v>10466</v>
      </c>
      <c r="G48" s="821">
        <v>11052</v>
      </c>
      <c r="H48" s="821">
        <v>12130</v>
      </c>
      <c r="I48" s="821">
        <v>5753</v>
      </c>
      <c r="J48" s="821">
        <v>11991</v>
      </c>
      <c r="K48" s="820">
        <v>12500</v>
      </c>
      <c r="L48" s="818">
        <f t="shared" si="8"/>
        <v>108.49619978284473</v>
      </c>
      <c r="M48" s="818">
        <f t="shared" si="9"/>
        <v>104.24485030439496</v>
      </c>
    </row>
    <row r="49" spans="1:13" ht="33">
      <c r="A49" s="437"/>
      <c r="B49" s="592" t="s">
        <v>108</v>
      </c>
      <c r="C49" s="593" t="s">
        <v>1051</v>
      </c>
      <c r="D49" s="593"/>
      <c r="E49" s="593"/>
      <c r="F49" s="625">
        <v>961</v>
      </c>
      <c r="G49" s="625">
        <v>980</v>
      </c>
      <c r="H49" s="625">
        <v>1050</v>
      </c>
      <c r="I49" s="622">
        <v>547.9</v>
      </c>
      <c r="J49" s="613">
        <v>1009</v>
      </c>
      <c r="K49" s="613">
        <v>1085</v>
      </c>
      <c r="L49" s="600">
        <f t="shared" si="8"/>
        <v>102.9591836734694</v>
      </c>
      <c r="M49" s="600">
        <f t="shared" si="9"/>
        <v>107.53221010901883</v>
      </c>
    </row>
    <row r="50" spans="1:13" s="156" customFormat="1" ht="16.5">
      <c r="A50" s="367">
        <v>10</v>
      </c>
      <c r="B50" s="589" t="s">
        <v>1092</v>
      </c>
      <c r="C50" s="437" t="s">
        <v>1038</v>
      </c>
      <c r="D50" s="437"/>
      <c r="E50" s="437"/>
      <c r="F50" s="591">
        <v>28242</v>
      </c>
      <c r="G50" s="621">
        <v>31511</v>
      </c>
      <c r="H50" s="621">
        <v>33870</v>
      </c>
      <c r="I50" s="621">
        <v>16603</v>
      </c>
      <c r="J50" s="621">
        <v>35501</v>
      </c>
      <c r="K50" s="591">
        <v>35056</v>
      </c>
      <c r="L50" s="591">
        <f t="shared" si="8"/>
        <v>112.66224493034179</v>
      </c>
      <c r="M50" s="591">
        <f t="shared" si="9"/>
        <v>98.74651418269907</v>
      </c>
    </row>
    <row r="51" spans="1:13" ht="16.5">
      <c r="A51" s="437"/>
      <c r="B51" s="592" t="s">
        <v>1049</v>
      </c>
      <c r="C51" s="437"/>
      <c r="D51" s="437"/>
      <c r="E51" s="437"/>
      <c r="F51" s="600"/>
      <c r="G51" s="600"/>
      <c r="H51" s="600"/>
      <c r="I51" s="600"/>
      <c r="J51" s="600"/>
      <c r="K51" s="600"/>
      <c r="L51" s="620"/>
      <c r="M51" s="620"/>
    </row>
    <row r="52" spans="1:13" ht="16.5">
      <c r="A52" s="437"/>
      <c r="B52" s="597" t="s">
        <v>1052</v>
      </c>
      <c r="C52" s="437" t="s">
        <v>1038</v>
      </c>
      <c r="D52" s="437"/>
      <c r="E52" s="437"/>
      <c r="F52" s="600"/>
      <c r="G52" s="622">
        <v>12013</v>
      </c>
      <c r="H52" s="622">
        <v>13470</v>
      </c>
      <c r="I52" s="622">
        <v>6000</v>
      </c>
      <c r="J52" s="622">
        <v>13100</v>
      </c>
      <c r="K52" s="600">
        <v>13750</v>
      </c>
      <c r="L52" s="600">
        <f>J52/G52*100</f>
        <v>109.04853075834512</v>
      </c>
      <c r="M52" s="600">
        <f>K52/J52*100</f>
        <v>104.9618320610687</v>
      </c>
    </row>
    <row r="53" spans="1:13" ht="16.5">
      <c r="A53" s="437"/>
      <c r="B53" s="597" t="s">
        <v>1053</v>
      </c>
      <c r="C53" s="437" t="s">
        <v>1038</v>
      </c>
      <c r="D53" s="437"/>
      <c r="E53" s="437"/>
      <c r="F53" s="600">
        <v>15926</v>
      </c>
      <c r="G53" s="622">
        <v>18588</v>
      </c>
      <c r="H53" s="622">
        <v>19600</v>
      </c>
      <c r="I53" s="622">
        <v>9953</v>
      </c>
      <c r="J53" s="622">
        <v>19600</v>
      </c>
      <c r="K53" s="600">
        <v>20506</v>
      </c>
      <c r="L53" s="600">
        <f>J53/G53*100</f>
        <v>105.44437271357864</v>
      </c>
      <c r="M53" s="600">
        <f>K53/J53*100</f>
        <v>104.62244897959184</v>
      </c>
    </row>
    <row r="54" spans="1:13" ht="16.5">
      <c r="A54" s="437"/>
      <c r="B54" s="592" t="s">
        <v>1050</v>
      </c>
      <c r="C54" s="437"/>
      <c r="D54" s="437"/>
      <c r="E54" s="437"/>
      <c r="F54" s="600"/>
      <c r="G54" s="600"/>
      <c r="H54" s="600"/>
      <c r="I54" s="600"/>
      <c r="J54" s="600"/>
      <c r="K54" s="600"/>
      <c r="L54" s="620"/>
      <c r="M54" s="620"/>
    </row>
    <row r="55" spans="1:13" ht="16.5">
      <c r="A55" s="437"/>
      <c r="B55" s="629" t="s">
        <v>1054</v>
      </c>
      <c r="C55" s="437" t="s">
        <v>1038</v>
      </c>
      <c r="D55" s="437"/>
      <c r="E55" s="437"/>
      <c r="F55" s="600">
        <v>1981.72</v>
      </c>
      <c r="G55" s="622">
        <v>2054</v>
      </c>
      <c r="H55" s="622">
        <v>2000</v>
      </c>
      <c r="I55" s="622">
        <v>968.655</v>
      </c>
      <c r="J55" s="622">
        <v>2000</v>
      </c>
      <c r="K55" s="600">
        <v>2160</v>
      </c>
      <c r="L55" s="600">
        <f>J55/G55*100</f>
        <v>97.37098344693281</v>
      </c>
      <c r="M55" s="600">
        <f>K55/J55*100</f>
        <v>108</v>
      </c>
    </row>
    <row r="56" spans="1:13" ht="16.5">
      <c r="A56" s="437"/>
      <c r="B56" s="629" t="s">
        <v>187</v>
      </c>
      <c r="C56" s="437" t="s">
        <v>1038</v>
      </c>
      <c r="D56" s="437"/>
      <c r="E56" s="437"/>
      <c r="F56" s="600">
        <v>2134.67</v>
      </c>
      <c r="G56" s="622">
        <v>2203</v>
      </c>
      <c r="H56" s="622">
        <v>2400</v>
      </c>
      <c r="I56" s="622">
        <v>1282.483</v>
      </c>
      <c r="J56" s="622">
        <v>2400</v>
      </c>
      <c r="K56" s="600">
        <v>2523</v>
      </c>
      <c r="L56" s="600">
        <f>J56/G56*100</f>
        <v>108.94235133908307</v>
      </c>
      <c r="M56" s="600">
        <f>K56/J56*100</f>
        <v>105.125</v>
      </c>
    </row>
    <row r="57" spans="1:13" ht="16.5">
      <c r="A57" s="437"/>
      <c r="B57" s="629" t="s">
        <v>1055</v>
      </c>
      <c r="C57" s="437" t="s">
        <v>1038</v>
      </c>
      <c r="D57" s="437"/>
      <c r="E57" s="437"/>
      <c r="F57" s="600">
        <v>2649.74</v>
      </c>
      <c r="G57" s="622">
        <v>26444</v>
      </c>
      <c r="H57" s="622">
        <v>3000</v>
      </c>
      <c r="I57" s="622">
        <v>1434.154</v>
      </c>
      <c r="J57" s="622">
        <v>3000</v>
      </c>
      <c r="K57" s="600">
        <v>2774</v>
      </c>
      <c r="L57" s="600">
        <f>J57/G57*100</f>
        <v>11.344728482831643</v>
      </c>
      <c r="M57" s="600">
        <f>K57/J57*100</f>
        <v>92.46666666666667</v>
      </c>
    </row>
    <row r="58" spans="1:13" ht="29.25" customHeight="1">
      <c r="A58" s="437"/>
      <c r="B58" s="629" t="s">
        <v>1123</v>
      </c>
      <c r="C58" s="437" t="s">
        <v>1038</v>
      </c>
      <c r="D58" s="437"/>
      <c r="E58" s="437"/>
      <c r="F58" s="600">
        <v>5640</v>
      </c>
      <c r="G58" s="622">
        <v>7102.068</v>
      </c>
      <c r="H58" s="622">
        <v>7694</v>
      </c>
      <c r="I58" s="622">
        <v>4017.604</v>
      </c>
      <c r="J58" s="622">
        <v>7694</v>
      </c>
      <c r="K58" s="600">
        <v>9043</v>
      </c>
      <c r="L58" s="600">
        <f>J58/G58*100</f>
        <v>108.3346428110798</v>
      </c>
      <c r="M58" s="600">
        <f>K58/J58*100</f>
        <v>117.53314270860412</v>
      </c>
    </row>
    <row r="59" spans="1:13" s="156" customFormat="1" ht="33">
      <c r="A59" s="367">
        <v>11</v>
      </c>
      <c r="B59" s="589" t="s">
        <v>177</v>
      </c>
      <c r="C59" s="437" t="s">
        <v>1038</v>
      </c>
      <c r="D59" s="437"/>
      <c r="E59" s="437"/>
      <c r="F59" s="591"/>
      <c r="G59" s="621"/>
      <c r="H59" s="621"/>
      <c r="I59" s="813"/>
      <c r="J59" s="621"/>
      <c r="K59" s="591"/>
      <c r="L59" s="612"/>
      <c r="M59" s="612"/>
    </row>
    <row r="60" spans="1:13" s="156" customFormat="1" ht="16.5">
      <c r="A60" s="366">
        <v>12</v>
      </c>
      <c r="B60" s="589" t="s">
        <v>1056</v>
      </c>
      <c r="C60" s="437" t="s">
        <v>1038</v>
      </c>
      <c r="D60" s="437"/>
      <c r="E60" s="437"/>
      <c r="F60" s="591">
        <v>9858.929</v>
      </c>
      <c r="G60" s="621">
        <v>12193</v>
      </c>
      <c r="H60" s="621">
        <v>11515</v>
      </c>
      <c r="I60" s="621">
        <v>5484.919</v>
      </c>
      <c r="J60" s="621">
        <v>13417</v>
      </c>
      <c r="K60" s="591">
        <v>16101</v>
      </c>
      <c r="L60" s="600">
        <f aca="true" t="shared" si="11" ref="L60:L66">J60/G60*100</f>
        <v>110.03854670712705</v>
      </c>
      <c r="M60" s="600">
        <f aca="true" t="shared" si="12" ref="M60:M66">K60/J60*100</f>
        <v>120.00447193858537</v>
      </c>
    </row>
    <row r="61" spans="1:13" ht="16.5">
      <c r="A61" s="437" t="s">
        <v>1047</v>
      </c>
      <c r="B61" s="629" t="s">
        <v>109</v>
      </c>
      <c r="C61" s="437" t="s">
        <v>1038</v>
      </c>
      <c r="D61" s="437"/>
      <c r="E61" s="437"/>
      <c r="F61" s="600">
        <f>F62+F63+F64+F65</f>
        <v>2812</v>
      </c>
      <c r="G61" s="600">
        <v>4938</v>
      </c>
      <c r="H61" s="600">
        <v>3702</v>
      </c>
      <c r="I61" s="600">
        <v>2981</v>
      </c>
      <c r="J61" s="600">
        <v>4216</v>
      </c>
      <c r="K61" s="600">
        <v>5117</v>
      </c>
      <c r="L61" s="600">
        <f t="shared" si="11"/>
        <v>85.37869582827055</v>
      </c>
      <c r="M61" s="600">
        <f t="shared" si="12"/>
        <v>121.37096774193547</v>
      </c>
    </row>
    <row r="62" spans="1:13" ht="16.5">
      <c r="A62" s="437"/>
      <c r="B62" s="597" t="s">
        <v>188</v>
      </c>
      <c r="C62" s="437" t="s">
        <v>1038</v>
      </c>
      <c r="D62" s="437"/>
      <c r="E62" s="437"/>
      <c r="F62" s="600">
        <v>2300</v>
      </c>
      <c r="G62" s="600">
        <v>4059</v>
      </c>
      <c r="H62" s="600">
        <v>2902</v>
      </c>
      <c r="I62" s="600">
        <v>1999</v>
      </c>
      <c r="J62" s="600">
        <v>3400</v>
      </c>
      <c r="K62" s="600">
        <v>4317</v>
      </c>
      <c r="L62" s="600">
        <f t="shared" si="11"/>
        <v>83.76447400837644</v>
      </c>
      <c r="M62" s="600">
        <f t="shared" si="12"/>
        <v>126.97058823529413</v>
      </c>
    </row>
    <row r="63" spans="1:13" ht="16.5">
      <c r="A63" s="437"/>
      <c r="B63" s="592" t="s">
        <v>116</v>
      </c>
      <c r="C63" s="437" t="s">
        <v>1038</v>
      </c>
      <c r="D63" s="437"/>
      <c r="E63" s="437"/>
      <c r="F63" s="600">
        <v>350</v>
      </c>
      <c r="G63" s="600">
        <v>819</v>
      </c>
      <c r="H63" s="600">
        <v>500</v>
      </c>
      <c r="I63" s="600">
        <v>249</v>
      </c>
      <c r="J63" s="600">
        <v>500</v>
      </c>
      <c r="K63" s="600">
        <v>500</v>
      </c>
      <c r="L63" s="600">
        <f t="shared" si="11"/>
        <v>61.05006105006105</v>
      </c>
      <c r="M63" s="600">
        <f t="shared" si="12"/>
        <v>100</v>
      </c>
    </row>
    <row r="64" spans="1:13" ht="33">
      <c r="A64" s="437"/>
      <c r="B64" s="597" t="s">
        <v>1099</v>
      </c>
      <c r="C64" s="437" t="s">
        <v>1038</v>
      </c>
      <c r="D64" s="437"/>
      <c r="E64" s="437"/>
      <c r="F64" s="600">
        <v>160</v>
      </c>
      <c r="G64" s="600">
        <v>195</v>
      </c>
      <c r="H64" s="600">
        <v>60</v>
      </c>
      <c r="I64" s="600">
        <v>50</v>
      </c>
      <c r="J64" s="600">
        <v>60</v>
      </c>
      <c r="K64" s="600">
        <v>140</v>
      </c>
      <c r="L64" s="600">
        <f t="shared" si="11"/>
        <v>30.76923076923077</v>
      </c>
      <c r="M64" s="600">
        <f t="shared" si="12"/>
        <v>233.33333333333334</v>
      </c>
    </row>
    <row r="65" spans="1:13" ht="16.5">
      <c r="A65" s="437"/>
      <c r="B65" s="597" t="s">
        <v>1057</v>
      </c>
      <c r="C65" s="437" t="s">
        <v>1038</v>
      </c>
      <c r="D65" s="437"/>
      <c r="E65" s="437"/>
      <c r="F65" s="600">
        <v>2</v>
      </c>
      <c r="G65" s="600"/>
      <c r="H65" s="600">
        <v>2</v>
      </c>
      <c r="I65" s="600"/>
      <c r="J65" s="600"/>
      <c r="K65" s="600"/>
      <c r="L65" s="600"/>
      <c r="M65" s="600"/>
    </row>
    <row r="66" spans="1:13" ht="16.5">
      <c r="A66" s="437" t="s">
        <v>1048</v>
      </c>
      <c r="B66" s="629" t="s">
        <v>1064</v>
      </c>
      <c r="C66" s="437" t="s">
        <v>1038</v>
      </c>
      <c r="D66" s="437"/>
      <c r="E66" s="437"/>
      <c r="F66" s="600">
        <v>5463.252</v>
      </c>
      <c r="G66" s="600">
        <v>7255</v>
      </c>
      <c r="H66" s="600">
        <v>7531</v>
      </c>
      <c r="I66" s="600">
        <v>3645</v>
      </c>
      <c r="J66" s="600">
        <v>8674</v>
      </c>
      <c r="K66" s="600">
        <v>10132</v>
      </c>
      <c r="L66" s="600">
        <f t="shared" si="11"/>
        <v>119.55892487939353</v>
      </c>
      <c r="M66" s="600">
        <f t="shared" si="12"/>
        <v>116.80885404657597</v>
      </c>
    </row>
    <row r="67" spans="1:13" s="155" customFormat="1" ht="16.5" hidden="1">
      <c r="A67" s="593"/>
      <c r="B67" s="592" t="s">
        <v>1049</v>
      </c>
      <c r="C67" s="593"/>
      <c r="D67" s="593"/>
      <c r="E67" s="593"/>
      <c r="F67" s="630"/>
      <c r="G67" s="630"/>
      <c r="H67" s="630"/>
      <c r="I67" s="630"/>
      <c r="J67" s="630"/>
      <c r="K67" s="630"/>
      <c r="L67" s="600"/>
      <c r="M67" s="600"/>
    </row>
    <row r="68" spans="1:13" s="155" customFormat="1" ht="16.5" hidden="1">
      <c r="A68" s="593"/>
      <c r="B68" s="597" t="s">
        <v>110</v>
      </c>
      <c r="C68" s="437" t="s">
        <v>1038</v>
      </c>
      <c r="D68" s="437"/>
      <c r="E68" s="437"/>
      <c r="F68" s="630">
        <v>2481.469</v>
      </c>
      <c r="G68" s="630"/>
      <c r="H68" s="630">
        <v>3078.2</v>
      </c>
      <c r="I68" s="630">
        <v>1597.144</v>
      </c>
      <c r="J68" s="630">
        <f>H68</f>
        <v>3078.2</v>
      </c>
      <c r="K68" s="630"/>
      <c r="L68" s="600" t="e">
        <f aca="true" t="shared" si="13" ref="L68:L75">J68/G68*100</f>
        <v>#DIV/0!</v>
      </c>
      <c r="M68" s="600">
        <f aca="true" t="shared" si="14" ref="M68:M75">K68/J68*100</f>
        <v>0</v>
      </c>
    </row>
    <row r="69" spans="1:13" s="155" customFormat="1" ht="16.5" hidden="1">
      <c r="A69" s="593"/>
      <c r="B69" s="597" t="s">
        <v>111</v>
      </c>
      <c r="C69" s="437" t="s">
        <v>1038</v>
      </c>
      <c r="D69" s="437"/>
      <c r="E69" s="437"/>
      <c r="F69" s="630">
        <v>438.116</v>
      </c>
      <c r="G69" s="630"/>
      <c r="H69" s="630">
        <v>558.751</v>
      </c>
      <c r="I69" s="630">
        <v>271.397</v>
      </c>
      <c r="J69" s="630">
        <f>H69</f>
        <v>558.751</v>
      </c>
      <c r="K69" s="630"/>
      <c r="L69" s="600" t="e">
        <f t="shared" si="13"/>
        <v>#DIV/0!</v>
      </c>
      <c r="M69" s="600">
        <f t="shared" si="14"/>
        <v>0</v>
      </c>
    </row>
    <row r="70" spans="1:13" s="155" customFormat="1" ht="16.5" hidden="1">
      <c r="A70" s="593"/>
      <c r="B70" s="597" t="s">
        <v>112</v>
      </c>
      <c r="C70" s="437" t="s">
        <v>1038</v>
      </c>
      <c r="D70" s="437"/>
      <c r="E70" s="437"/>
      <c r="F70" s="630">
        <v>61.05</v>
      </c>
      <c r="G70" s="630"/>
      <c r="H70" s="630">
        <v>69.845</v>
      </c>
      <c r="I70" s="630">
        <v>39.64</v>
      </c>
      <c r="J70" s="630">
        <f>H70</f>
        <v>69.845</v>
      </c>
      <c r="K70" s="630"/>
      <c r="L70" s="600" t="e">
        <f t="shared" si="13"/>
        <v>#DIV/0!</v>
      </c>
      <c r="M70" s="600">
        <f t="shared" si="14"/>
        <v>0</v>
      </c>
    </row>
    <row r="71" spans="1:13" s="155" customFormat="1" ht="16.5" hidden="1">
      <c r="A71" s="593"/>
      <c r="B71" s="597" t="s">
        <v>113</v>
      </c>
      <c r="C71" s="437" t="s">
        <v>1038</v>
      </c>
      <c r="D71" s="437"/>
      <c r="E71" s="437"/>
      <c r="F71" s="630">
        <v>721.175</v>
      </c>
      <c r="G71" s="630"/>
      <c r="H71" s="630">
        <v>1015.673</v>
      </c>
      <c r="I71" s="630">
        <v>570.394</v>
      </c>
      <c r="J71" s="630">
        <f>H71</f>
        <v>1015.673</v>
      </c>
      <c r="K71" s="630"/>
      <c r="L71" s="600" t="e">
        <f t="shared" si="13"/>
        <v>#DIV/0!</v>
      </c>
      <c r="M71" s="600">
        <f t="shared" si="14"/>
        <v>0</v>
      </c>
    </row>
    <row r="72" spans="1:13" s="156" customFormat="1" ht="16.5">
      <c r="A72" s="367">
        <v>13</v>
      </c>
      <c r="B72" s="589" t="s">
        <v>1065</v>
      </c>
      <c r="C72" s="367" t="s">
        <v>1038</v>
      </c>
      <c r="D72" s="367"/>
      <c r="E72" s="367"/>
      <c r="F72" s="627">
        <f>SUM(F73:F75)</f>
        <v>34500</v>
      </c>
      <c r="G72" s="627">
        <f>'9.DTPT'!F6</f>
        <v>40205.86</v>
      </c>
      <c r="H72" s="627">
        <f>'9.DTPT'!G6</f>
        <v>44415.06</v>
      </c>
      <c r="I72" s="627" t="e">
        <f>'9.DTPT'!#REF!</f>
        <v>#REF!</v>
      </c>
      <c r="J72" s="627">
        <f>'9.DTPT'!H6</f>
        <v>45605.06</v>
      </c>
      <c r="K72" s="627">
        <f>'9.DTPT'!I6</f>
        <v>54341</v>
      </c>
      <c r="L72" s="591">
        <f t="shared" si="13"/>
        <v>113.42888822674107</v>
      </c>
      <c r="M72" s="591">
        <f t="shared" si="14"/>
        <v>119.15563755425384</v>
      </c>
    </row>
    <row r="73" spans="1:13" ht="16.5">
      <c r="A73" s="437"/>
      <c r="B73" s="597" t="s">
        <v>1088</v>
      </c>
      <c r="C73" s="437" t="s">
        <v>1038</v>
      </c>
      <c r="D73" s="437"/>
      <c r="E73" s="437"/>
      <c r="F73" s="624">
        <v>1600</v>
      </c>
      <c r="G73" s="624">
        <f>'9.DTPT'!F18+'9.DTPT'!F22</f>
        <v>1500</v>
      </c>
      <c r="H73" s="624">
        <f>'9.DTPT'!G18+'9.DTPT'!G22</f>
        <v>1650</v>
      </c>
      <c r="I73" s="624" t="e">
        <f>'9.DTPT'!#REF!+'9.DTPT'!#REF!</f>
        <v>#REF!</v>
      </c>
      <c r="J73" s="624">
        <f>'9.DTPT'!H18+'9.DTPT'!H22</f>
        <v>1650</v>
      </c>
      <c r="K73" s="624">
        <f>'9.DTPT'!I18+'9.DTPT'!I22</f>
        <v>1900</v>
      </c>
      <c r="L73" s="600">
        <f t="shared" si="13"/>
        <v>110.00000000000001</v>
      </c>
      <c r="M73" s="600">
        <f t="shared" si="14"/>
        <v>115.15151515151516</v>
      </c>
    </row>
    <row r="74" spans="1:13" ht="16.5">
      <c r="A74" s="437"/>
      <c r="B74" s="597" t="s">
        <v>1089</v>
      </c>
      <c r="C74" s="437" t="s">
        <v>1038</v>
      </c>
      <c r="D74" s="437"/>
      <c r="E74" s="437"/>
      <c r="F74" s="624">
        <v>14180</v>
      </c>
      <c r="G74" s="624">
        <f>G72-G73-G75</f>
        <v>19524.673</v>
      </c>
      <c r="H74" s="624">
        <f>H72-H73-H75</f>
        <v>21765.059999999998</v>
      </c>
      <c r="I74" s="624" t="e">
        <f>I72-I73-I75</f>
        <v>#REF!</v>
      </c>
      <c r="J74" s="624">
        <f>J72-J73-J75</f>
        <v>22955.059999999998</v>
      </c>
      <c r="K74" s="624">
        <f>K72-K73-K75</f>
        <v>28241</v>
      </c>
      <c r="L74" s="600">
        <f t="shared" si="13"/>
        <v>117.5694978348677</v>
      </c>
      <c r="M74" s="600">
        <f t="shared" si="14"/>
        <v>123.02734124850905</v>
      </c>
    </row>
    <row r="75" spans="1:13" ht="16.5">
      <c r="A75" s="437"/>
      <c r="B75" s="597" t="s">
        <v>102</v>
      </c>
      <c r="C75" s="437" t="s">
        <v>1051</v>
      </c>
      <c r="D75" s="437"/>
      <c r="E75" s="437"/>
      <c r="F75" s="624">
        <v>18720</v>
      </c>
      <c r="G75" s="624">
        <f>'9.DTPT'!F26</f>
        <v>19181.187</v>
      </c>
      <c r="H75" s="624">
        <f>'9.DTPT'!G26</f>
        <v>21000</v>
      </c>
      <c r="I75" s="624" t="e">
        <f>'9.DTPT'!#REF!</f>
        <v>#REF!</v>
      </c>
      <c r="J75" s="624">
        <f>'9.DTPT'!H26</f>
        <v>21000</v>
      </c>
      <c r="K75" s="624">
        <f>'9.DTPT'!I26</f>
        <v>24200</v>
      </c>
      <c r="L75" s="600">
        <f t="shared" si="13"/>
        <v>109.48227552340737</v>
      </c>
      <c r="M75" s="600">
        <f t="shared" si="14"/>
        <v>115.23809523809523</v>
      </c>
    </row>
    <row r="76" spans="1:13" s="155" customFormat="1" ht="16.5">
      <c r="A76" s="593"/>
      <c r="B76" s="592" t="s">
        <v>1049</v>
      </c>
      <c r="C76" s="593"/>
      <c r="D76" s="593"/>
      <c r="E76" s="593"/>
      <c r="F76" s="632"/>
      <c r="G76" s="632"/>
      <c r="H76" s="632"/>
      <c r="I76" s="632"/>
      <c r="J76" s="632"/>
      <c r="K76" s="632"/>
      <c r="L76" s="632"/>
      <c r="M76" s="632"/>
    </row>
    <row r="77" spans="1:13" s="155" customFormat="1" ht="16.5">
      <c r="A77" s="593"/>
      <c r="B77" s="633" t="s">
        <v>114</v>
      </c>
      <c r="C77" s="437" t="s">
        <v>1051</v>
      </c>
      <c r="D77" s="437"/>
      <c r="E77" s="437"/>
      <c r="F77" s="632"/>
      <c r="G77" s="632"/>
      <c r="H77" s="632"/>
      <c r="I77" s="632"/>
      <c r="J77" s="632"/>
      <c r="K77" s="632"/>
      <c r="L77" s="632"/>
      <c r="M77" s="632"/>
    </row>
    <row r="78" spans="1:13" s="155" customFormat="1" ht="16.5">
      <c r="A78" s="593"/>
      <c r="B78" s="633" t="s">
        <v>115</v>
      </c>
      <c r="C78" s="437" t="s">
        <v>1051</v>
      </c>
      <c r="D78" s="437"/>
      <c r="E78" s="437"/>
      <c r="F78" s="632"/>
      <c r="G78" s="628">
        <f>G75</f>
        <v>19181.187</v>
      </c>
      <c r="H78" s="628">
        <f>H75</f>
        <v>21000</v>
      </c>
      <c r="I78" s="628" t="e">
        <f>I75</f>
        <v>#REF!</v>
      </c>
      <c r="J78" s="628">
        <f>J75</f>
        <v>21000</v>
      </c>
      <c r="K78" s="628">
        <f>K75</f>
        <v>24200</v>
      </c>
      <c r="L78" s="632"/>
      <c r="M78" s="632"/>
    </row>
    <row r="79" spans="8:10" ht="16.5">
      <c r="H79" s="799"/>
      <c r="J79" s="800"/>
    </row>
  </sheetData>
  <sheetProtection/>
  <mergeCells count="12">
    <mergeCell ref="A3:M3"/>
    <mergeCell ref="H5:J5"/>
    <mergeCell ref="F5:F6"/>
    <mergeCell ref="C5:C6"/>
    <mergeCell ref="B5:B6"/>
    <mergeCell ref="A5:A6"/>
    <mergeCell ref="K5:K6"/>
    <mergeCell ref="L5:L6"/>
    <mergeCell ref="M5:M6"/>
    <mergeCell ref="E5:E6"/>
    <mergeCell ref="G5:G6"/>
    <mergeCell ref="D5:D6"/>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headerFooter>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zoomScale="85" zoomScaleNormal="85" zoomScalePageLayoutView="0" workbookViewId="0" topLeftCell="A1">
      <pane xSplit="2" ySplit="6" topLeftCell="C49" activePane="bottomRight" state="frozen"/>
      <selection pane="topLeft" activeCell="K24" sqref="K24"/>
      <selection pane="topRight" activeCell="K24" sqref="K24"/>
      <selection pane="bottomLeft" activeCell="K24" sqref="K24"/>
      <selection pane="bottomRight" activeCell="L45" sqref="L45"/>
    </sheetView>
  </sheetViews>
  <sheetFormatPr defaultColWidth="9.00390625" defaultRowHeight="15.75"/>
  <cols>
    <col min="1" max="1" width="3.625" style="584" customWidth="1"/>
    <col min="2" max="2" width="39.25390625" style="584" customWidth="1"/>
    <col min="3" max="3" width="10.625" style="584" customWidth="1"/>
    <col min="4" max="5" width="10.625" style="584" hidden="1" customWidth="1"/>
    <col min="6" max="6" width="12.75390625" style="584" hidden="1" customWidth="1"/>
    <col min="7" max="7" width="12.75390625" style="584" customWidth="1"/>
    <col min="8" max="8" width="11.125" style="584" customWidth="1"/>
    <col min="9" max="9" width="10.375" style="584" hidden="1" customWidth="1"/>
    <col min="10" max="10" width="11.50390625" style="584" customWidth="1"/>
    <col min="11" max="11" width="16.125" style="584" bestFit="1" customWidth="1"/>
    <col min="12" max="12" width="12.625" style="584" customWidth="1"/>
    <col min="13" max="13" width="12.625" style="635" customWidth="1"/>
    <col min="14" max="14" width="15.125" style="584" bestFit="1" customWidth="1"/>
    <col min="15" max="16384" width="9.00390625" style="584" customWidth="1"/>
  </cols>
  <sheetData>
    <row r="1" spans="1:13" ht="19.5">
      <c r="A1" s="526" t="s">
        <v>1034</v>
      </c>
      <c r="B1" s="526"/>
      <c r="C1" s="526"/>
      <c r="D1" s="526"/>
      <c r="E1" s="526"/>
      <c r="F1" s="526"/>
      <c r="G1" s="526"/>
      <c r="H1" s="526"/>
      <c r="I1" s="526"/>
      <c r="J1" s="526"/>
      <c r="K1" s="526"/>
      <c r="M1" s="528" t="s">
        <v>291</v>
      </c>
    </row>
    <row r="3" spans="1:13" ht="18.75">
      <c r="A3" s="846" t="s">
        <v>122</v>
      </c>
      <c r="B3" s="846"/>
      <c r="C3" s="846"/>
      <c r="D3" s="846"/>
      <c r="E3" s="846"/>
      <c r="F3" s="846"/>
      <c r="G3" s="846"/>
      <c r="H3" s="846"/>
      <c r="I3" s="846"/>
      <c r="J3" s="846"/>
      <c r="K3" s="846"/>
      <c r="L3" s="846"/>
      <c r="M3" s="846"/>
    </row>
    <row r="5" spans="1:13" s="585" customFormat="1" ht="18.75">
      <c r="A5" s="844" t="s">
        <v>1035</v>
      </c>
      <c r="B5" s="844" t="s">
        <v>1036</v>
      </c>
      <c r="C5" s="844" t="s">
        <v>1037</v>
      </c>
      <c r="D5" s="844" t="s">
        <v>25</v>
      </c>
      <c r="E5" s="844" t="s">
        <v>603</v>
      </c>
      <c r="F5" s="844" t="s">
        <v>200</v>
      </c>
      <c r="G5" s="844" t="s">
        <v>640</v>
      </c>
      <c r="H5" s="844" t="s">
        <v>641</v>
      </c>
      <c r="I5" s="844"/>
      <c r="J5" s="844"/>
      <c r="K5" s="844" t="s">
        <v>642</v>
      </c>
      <c r="L5" s="844" t="s">
        <v>643</v>
      </c>
      <c r="M5" s="844" t="s">
        <v>644</v>
      </c>
    </row>
    <row r="6" spans="1:13" s="585" customFormat="1" ht="49.5">
      <c r="A6" s="844"/>
      <c r="B6" s="844"/>
      <c r="C6" s="844"/>
      <c r="D6" s="844"/>
      <c r="E6" s="844"/>
      <c r="F6" s="844"/>
      <c r="G6" s="844"/>
      <c r="H6" s="637" t="s">
        <v>163</v>
      </c>
      <c r="I6" s="637" t="s">
        <v>161</v>
      </c>
      <c r="J6" s="637" t="s">
        <v>95</v>
      </c>
      <c r="K6" s="844"/>
      <c r="L6" s="844"/>
      <c r="M6" s="844"/>
    </row>
    <row r="7" spans="1:13" s="588" customFormat="1" ht="18.75">
      <c r="A7" s="586">
        <v>1</v>
      </c>
      <c r="B7" s="586">
        <v>2</v>
      </c>
      <c r="C7" s="586">
        <v>3</v>
      </c>
      <c r="D7" s="586"/>
      <c r="E7" s="586"/>
      <c r="F7" s="586"/>
      <c r="G7" s="586">
        <v>4</v>
      </c>
      <c r="H7" s="586">
        <v>5</v>
      </c>
      <c r="I7" s="586">
        <v>6</v>
      </c>
      <c r="J7" s="586">
        <v>7</v>
      </c>
      <c r="K7" s="586">
        <v>8</v>
      </c>
      <c r="L7" s="586" t="s">
        <v>1228</v>
      </c>
      <c r="M7" s="587" t="s">
        <v>1229</v>
      </c>
    </row>
    <row r="8" spans="1:13" s="588" customFormat="1" ht="33">
      <c r="A8" s="366">
        <v>1</v>
      </c>
      <c r="B8" s="589" t="s">
        <v>26</v>
      </c>
      <c r="C8" s="437" t="s">
        <v>1038</v>
      </c>
      <c r="D8" s="590">
        <f aca="true" t="shared" si="0" ref="D8:K8">SUM(D10:D12)</f>
        <v>36205.524</v>
      </c>
      <c r="E8" s="590">
        <f t="shared" si="0"/>
        <v>41040.164</v>
      </c>
      <c r="F8" s="590">
        <f t="shared" si="0"/>
        <v>45984.86</v>
      </c>
      <c r="G8" s="590">
        <f t="shared" si="0"/>
        <v>51275.2</v>
      </c>
      <c r="H8" s="590">
        <f t="shared" si="0"/>
        <v>57200</v>
      </c>
      <c r="I8" s="590">
        <f t="shared" si="0"/>
        <v>24075.2</v>
      </c>
      <c r="J8" s="590">
        <f t="shared" si="0"/>
        <v>57200</v>
      </c>
      <c r="K8" s="590">
        <f t="shared" si="0"/>
        <v>63200</v>
      </c>
      <c r="L8" s="601">
        <f>J8/G8*100</f>
        <v>111.554903735139</v>
      </c>
      <c r="M8" s="591">
        <f>K8/J8*100</f>
        <v>110.48951048951048</v>
      </c>
    </row>
    <row r="9" spans="1:13" s="588" customFormat="1" ht="18.75">
      <c r="A9" s="586"/>
      <c r="B9" s="592" t="s">
        <v>1049</v>
      </c>
      <c r="C9" s="593"/>
      <c r="D9" s="586"/>
      <c r="E9" s="586"/>
      <c r="F9" s="586"/>
      <c r="G9" s="586"/>
      <c r="H9" s="594"/>
      <c r="I9" s="595"/>
      <c r="J9" s="595"/>
      <c r="K9" s="586"/>
      <c r="L9" s="596"/>
      <c r="M9" s="592"/>
    </row>
    <row r="10" spans="1:14" s="588" customFormat="1" ht="18.75">
      <c r="A10" s="586"/>
      <c r="B10" s="597" t="s">
        <v>119</v>
      </c>
      <c r="C10" s="437" t="s">
        <v>1038</v>
      </c>
      <c r="D10" s="638">
        <v>23462.499</v>
      </c>
      <c r="E10" s="638">
        <v>26808.382</v>
      </c>
      <c r="F10" s="638">
        <v>30122.43</v>
      </c>
      <c r="G10" s="598">
        <v>33615.7</v>
      </c>
      <c r="H10" s="599">
        <v>37490</v>
      </c>
      <c r="I10" s="598">
        <v>15386</v>
      </c>
      <c r="J10" s="598">
        <f>H10</f>
        <v>37490</v>
      </c>
      <c r="K10" s="599">
        <v>41600</v>
      </c>
      <c r="L10" s="600">
        <f>J10/G10*100</f>
        <v>111.52526944255214</v>
      </c>
      <c r="M10" s="600">
        <f>K10/J10*100</f>
        <v>110.96292344625233</v>
      </c>
      <c r="N10" s="758"/>
    </row>
    <row r="11" spans="1:14" s="588" customFormat="1" ht="18.75">
      <c r="A11" s="586"/>
      <c r="B11" s="597" t="s">
        <v>120</v>
      </c>
      <c r="C11" s="437" t="s">
        <v>1038</v>
      </c>
      <c r="D11" s="638">
        <v>8936.567</v>
      </c>
      <c r="E11" s="638">
        <v>10276.671</v>
      </c>
      <c r="F11" s="638">
        <v>11776.97</v>
      </c>
      <c r="G11" s="598">
        <v>13433.4</v>
      </c>
      <c r="H11" s="599">
        <v>15340</v>
      </c>
      <c r="I11" s="598">
        <v>7367.2</v>
      </c>
      <c r="J11" s="598">
        <f>H11</f>
        <v>15340</v>
      </c>
      <c r="K11" s="599">
        <v>17100</v>
      </c>
      <c r="L11" s="600">
        <f>J11/G11*100</f>
        <v>114.19298167254755</v>
      </c>
      <c r="M11" s="600">
        <f>K11/J11*100</f>
        <v>111.47327249022166</v>
      </c>
      <c r="N11" s="758"/>
    </row>
    <row r="12" spans="1:14" s="588" customFormat="1" ht="18.75">
      <c r="A12" s="586"/>
      <c r="B12" s="597" t="s">
        <v>121</v>
      </c>
      <c r="C12" s="437" t="s">
        <v>1038</v>
      </c>
      <c r="D12" s="638">
        <v>3806.458</v>
      </c>
      <c r="E12" s="638">
        <v>3955.111</v>
      </c>
      <c r="F12" s="638">
        <v>4085.46</v>
      </c>
      <c r="G12" s="598">
        <v>4226.1</v>
      </c>
      <c r="H12" s="599">
        <v>4370</v>
      </c>
      <c r="I12" s="598">
        <v>1322</v>
      </c>
      <c r="J12" s="598">
        <f>H12</f>
        <v>4370</v>
      </c>
      <c r="K12" s="599">
        <v>4500</v>
      </c>
      <c r="L12" s="600">
        <f>J12/G12*100</f>
        <v>103.40503064290954</v>
      </c>
      <c r="M12" s="600">
        <f>K12/J12*100</f>
        <v>102.97482837528604</v>
      </c>
      <c r="N12" s="758"/>
    </row>
    <row r="13" spans="1:15" s="526" customFormat="1" ht="33">
      <c r="A13" s="367"/>
      <c r="B13" s="589" t="s">
        <v>27</v>
      </c>
      <c r="C13" s="437" t="s">
        <v>1038</v>
      </c>
      <c r="D13" s="590">
        <f aca="true" t="shared" si="1" ref="D13:K13">SUM(D15:D17)</f>
        <v>76024.68</v>
      </c>
      <c r="E13" s="590">
        <f t="shared" si="1"/>
        <v>85607.88</v>
      </c>
      <c r="F13" s="590">
        <f t="shared" si="1"/>
        <v>95501.82999999999</v>
      </c>
      <c r="G13" s="590">
        <f t="shared" si="1"/>
        <v>106074.38</v>
      </c>
      <c r="H13" s="590">
        <f t="shared" si="1"/>
        <v>117755</v>
      </c>
      <c r="I13" s="590">
        <f t="shared" si="1"/>
        <v>56558.79</v>
      </c>
      <c r="J13" s="590">
        <f t="shared" si="1"/>
        <v>117866</v>
      </c>
      <c r="K13" s="590">
        <f t="shared" si="1"/>
        <v>129518.69489064428</v>
      </c>
      <c r="L13" s="601">
        <f>J13/G13*100</f>
        <v>111.11636947583384</v>
      </c>
      <c r="M13" s="601">
        <f>K13/J13*100</f>
        <v>109.88639208138417</v>
      </c>
      <c r="O13" s="584"/>
    </row>
    <row r="14" spans="1:13" s="607" customFormat="1" ht="19.5">
      <c r="A14" s="602"/>
      <c r="B14" s="592" t="s">
        <v>1049</v>
      </c>
      <c r="C14" s="593"/>
      <c r="D14" s="593"/>
      <c r="E14" s="593"/>
      <c r="F14" s="603"/>
      <c r="G14" s="603"/>
      <c r="H14" s="604"/>
      <c r="I14" s="605"/>
      <c r="J14" s="605"/>
      <c r="K14" s="605"/>
      <c r="L14" s="606"/>
      <c r="M14" s="606"/>
    </row>
    <row r="15" spans="1:16" ht="18.75">
      <c r="A15" s="437"/>
      <c r="B15" s="597" t="s">
        <v>119</v>
      </c>
      <c r="C15" s="437" t="s">
        <v>1038</v>
      </c>
      <c r="D15" s="639">
        <v>43488.31</v>
      </c>
      <c r="E15" s="640">
        <v>48865.26</v>
      </c>
      <c r="F15" s="598">
        <v>54536.16</v>
      </c>
      <c r="G15" s="598">
        <v>60501.2</v>
      </c>
      <c r="H15" s="641">
        <v>67150</v>
      </c>
      <c r="I15" s="641">
        <v>31217.57</v>
      </c>
      <c r="J15" s="641">
        <f>70282-3100</f>
        <v>67182</v>
      </c>
      <c r="K15" s="608">
        <f>K10*P15</f>
        <v>74282.87081339714</v>
      </c>
      <c r="L15" s="600">
        <f>J15/G15*100</f>
        <v>111.04242560478139</v>
      </c>
      <c r="M15" s="600">
        <f>K15/J15*100</f>
        <v>110.56960318745665</v>
      </c>
      <c r="O15" s="760">
        <v>1.7919978660976261</v>
      </c>
      <c r="P15" s="760">
        <v>1.7856459330143541</v>
      </c>
    </row>
    <row r="16" spans="1:16" ht="18.75">
      <c r="A16" s="437"/>
      <c r="B16" s="597" t="s">
        <v>120</v>
      </c>
      <c r="C16" s="437" t="s">
        <v>1038</v>
      </c>
      <c r="D16" s="639">
        <f>76024.68-D15-D17</f>
        <v>25999.289999999994</v>
      </c>
      <c r="E16" s="639">
        <f>85607.88-E15-E17</f>
        <v>29958.710000000003</v>
      </c>
      <c r="F16" s="639">
        <f>95501.83-F15-F17</f>
        <v>33986.24</v>
      </c>
      <c r="G16" s="639">
        <f>106074.38-G15-G17</f>
        <v>38376.58000000001</v>
      </c>
      <c r="H16" s="641">
        <v>43180</v>
      </c>
      <c r="I16" s="641">
        <v>21695.7</v>
      </c>
      <c r="J16" s="641">
        <v>43249</v>
      </c>
      <c r="K16" s="608">
        <f>K11*P16</f>
        <v>47589.80637813212</v>
      </c>
      <c r="L16" s="600">
        <f>J16/G16*100</f>
        <v>112.69633719315266</v>
      </c>
      <c r="M16" s="600">
        <f>K16/J16*100</f>
        <v>110.03677860327896</v>
      </c>
      <c r="O16" s="760">
        <v>2.819361147327249</v>
      </c>
      <c r="P16" s="760">
        <v>2.7830296127562644</v>
      </c>
    </row>
    <row r="17" spans="1:16" ht="18.75">
      <c r="A17" s="437"/>
      <c r="B17" s="597" t="s">
        <v>121</v>
      </c>
      <c r="C17" s="437" t="s">
        <v>1038</v>
      </c>
      <c r="D17" s="639">
        <v>6537.08</v>
      </c>
      <c r="E17" s="640">
        <v>6783.91</v>
      </c>
      <c r="F17" s="598">
        <v>6979.43</v>
      </c>
      <c r="G17" s="598">
        <v>7196.6</v>
      </c>
      <c r="H17" s="641">
        <v>7425</v>
      </c>
      <c r="I17" s="641">
        <v>3645.52</v>
      </c>
      <c r="J17" s="641">
        <f>7465-30</f>
        <v>7435</v>
      </c>
      <c r="K17" s="608">
        <f>K12*P17</f>
        <v>7646.017699115044</v>
      </c>
      <c r="L17" s="600">
        <f>J17/G17*100</f>
        <v>103.31267543006419</v>
      </c>
      <c r="M17" s="600">
        <f>K17/J17*100</f>
        <v>102.83816676684658</v>
      </c>
      <c r="O17" s="760">
        <v>1.7013729977116705</v>
      </c>
      <c r="P17" s="760">
        <v>1.6991150442477876</v>
      </c>
    </row>
    <row r="18" spans="1:16" s="526" customFormat="1" ht="33">
      <c r="A18" s="367">
        <v>2</v>
      </c>
      <c r="B18" s="589" t="s">
        <v>28</v>
      </c>
      <c r="C18" s="437" t="s">
        <v>1038</v>
      </c>
      <c r="D18" s="609">
        <f aca="true" t="shared" si="2" ref="D18:K18">SUM(D20:D22)</f>
        <v>76024.68</v>
      </c>
      <c r="E18" s="609">
        <f t="shared" si="2"/>
        <v>98759.22</v>
      </c>
      <c r="F18" s="609">
        <f t="shared" si="2"/>
        <v>117414.1</v>
      </c>
      <c r="G18" s="609">
        <f t="shared" si="2"/>
        <v>140092</v>
      </c>
      <c r="H18" s="609">
        <f t="shared" si="2"/>
        <v>161800</v>
      </c>
      <c r="I18" s="609">
        <f t="shared" si="2"/>
        <v>79737</v>
      </c>
      <c r="J18" s="609">
        <f t="shared" si="2"/>
        <v>162150</v>
      </c>
      <c r="K18" s="590">
        <f t="shared" si="2"/>
        <v>180551.41438201882</v>
      </c>
      <c r="L18" s="591">
        <f>J18/G18*100</f>
        <v>115.74536733004027</v>
      </c>
      <c r="M18" s="591">
        <f>K18/J18*100</f>
        <v>111.34838999816145</v>
      </c>
      <c r="N18" s="590"/>
      <c r="O18" s="761"/>
      <c r="P18" s="761"/>
    </row>
    <row r="19" spans="1:16" s="526" customFormat="1" ht="18.75">
      <c r="A19" s="367"/>
      <c r="B19" s="592" t="s">
        <v>1049</v>
      </c>
      <c r="C19" s="593"/>
      <c r="D19" s="610"/>
      <c r="E19" s="610"/>
      <c r="F19" s="611"/>
      <c r="G19" s="611"/>
      <c r="H19" s="611"/>
      <c r="I19" s="611"/>
      <c r="J19" s="611"/>
      <c r="K19" s="612"/>
      <c r="L19" s="612"/>
      <c r="M19" s="612"/>
      <c r="O19" s="761"/>
      <c r="P19" s="761"/>
    </row>
    <row r="20" spans="1:16" ht="18.75">
      <c r="A20" s="437"/>
      <c r="B20" s="597" t="s">
        <v>119</v>
      </c>
      <c r="C20" s="437" t="s">
        <v>1038</v>
      </c>
      <c r="D20" s="639">
        <v>43488.31</v>
      </c>
      <c r="E20" s="639">
        <v>56589.76</v>
      </c>
      <c r="F20" s="642">
        <v>66926.03</v>
      </c>
      <c r="G20" s="641">
        <v>79710.9</v>
      </c>
      <c r="H20" s="641">
        <v>91950</v>
      </c>
      <c r="I20" s="641">
        <v>45430</v>
      </c>
      <c r="J20" s="641">
        <v>92319</v>
      </c>
      <c r="K20" s="613">
        <f>K10*P20</f>
        <v>102948.05741626806</v>
      </c>
      <c r="L20" s="600">
        <f>J20/G20*100</f>
        <v>115.81728471263028</v>
      </c>
      <c r="M20" s="600">
        <f>K20/J20*100</f>
        <v>111.51340180923543</v>
      </c>
      <c r="N20" s="759"/>
      <c r="O20" s="760">
        <v>2.462496665777541</v>
      </c>
      <c r="P20" s="760">
        <f>2.53971291866029-0.065</f>
        <v>2.47471291866029</v>
      </c>
    </row>
    <row r="21" spans="1:16" ht="18.75">
      <c r="A21" s="437"/>
      <c r="B21" s="597" t="s">
        <v>120</v>
      </c>
      <c r="C21" s="437" t="s">
        <v>1038</v>
      </c>
      <c r="D21" s="639">
        <f>76024.68-D20-D22</f>
        <v>25999.289999999994</v>
      </c>
      <c r="E21" s="639">
        <f>98759.22-E20-E22</f>
        <v>34760.119999999995</v>
      </c>
      <c r="F21" s="639">
        <f>117414.1-F20-F22</f>
        <v>42503.920000000006</v>
      </c>
      <c r="G21" s="641">
        <v>51559.9</v>
      </c>
      <c r="H21" s="641">
        <v>60500</v>
      </c>
      <c r="I21" s="641">
        <v>29533</v>
      </c>
      <c r="J21" s="641">
        <v>60173</v>
      </c>
      <c r="K21" s="613">
        <f>K11*P21</f>
        <v>67479.94988610479</v>
      </c>
      <c r="L21" s="600">
        <f>J21/G21*100</f>
        <v>116.70503627819294</v>
      </c>
      <c r="M21" s="600">
        <f>K21/J21*100</f>
        <v>112.1432368107038</v>
      </c>
      <c r="N21" s="759"/>
      <c r="O21" s="760">
        <v>3.922620599739244</v>
      </c>
      <c r="P21" s="760">
        <f>4.02619589977221-0.08</f>
        <v>3.94619589977221</v>
      </c>
    </row>
    <row r="22" spans="1:16" ht="18.75">
      <c r="A22" s="437"/>
      <c r="B22" s="597" t="s">
        <v>121</v>
      </c>
      <c r="C22" s="437" t="s">
        <v>1038</v>
      </c>
      <c r="D22" s="639">
        <v>6537.08</v>
      </c>
      <c r="E22" s="639">
        <v>7409.34</v>
      </c>
      <c r="F22" s="642">
        <v>7984.15</v>
      </c>
      <c r="G22" s="641">
        <v>8821.2</v>
      </c>
      <c r="H22" s="641">
        <v>9350</v>
      </c>
      <c r="I22" s="641">
        <f>4784-10</f>
        <v>4774</v>
      </c>
      <c r="J22" s="641">
        <f>I22*2+110</f>
        <v>9658</v>
      </c>
      <c r="K22" s="613">
        <f>K12*P22</f>
        <v>10123.407079645995</v>
      </c>
      <c r="L22" s="600">
        <f>J22/G22*100</f>
        <v>109.48623770008614</v>
      </c>
      <c r="M22" s="600">
        <f>K22/J22*100</f>
        <v>104.81887636825424</v>
      </c>
      <c r="N22" s="759"/>
      <c r="O22" s="760">
        <v>2.2100686498855837</v>
      </c>
      <c r="P22" s="760">
        <f>2.32964601769911-0.08</f>
        <v>2.24964601769911</v>
      </c>
    </row>
    <row r="23" spans="1:15" s="526" customFormat="1" ht="18.75">
      <c r="A23" s="367">
        <v>3</v>
      </c>
      <c r="B23" s="614" t="s">
        <v>196</v>
      </c>
      <c r="C23" s="437" t="s">
        <v>154</v>
      </c>
      <c r="D23" s="437"/>
      <c r="E23" s="437"/>
      <c r="F23" s="615">
        <f>F18/'3. XH'!D9*1000</f>
        <v>42.40809312190105</v>
      </c>
      <c r="G23" s="615">
        <f>G18/'3. XH'!D9*1000</f>
        <v>50.59898752903919</v>
      </c>
      <c r="H23" s="615">
        <f>H18/'3. XH'!E9*1000</f>
        <v>57.32289333938448</v>
      </c>
      <c r="I23" s="616" t="s">
        <v>442</v>
      </c>
      <c r="J23" s="615">
        <f>J18/'3. XH'!G9*1000</f>
        <v>57.446892181589575</v>
      </c>
      <c r="K23" s="615">
        <f>K18/'3. XH'!H9*1000</f>
        <v>62.04515958144977</v>
      </c>
      <c r="L23" s="600">
        <f>J23/G23*100</f>
        <v>113.53367920379891</v>
      </c>
      <c r="M23" s="600">
        <f>K23/J23*100</f>
        <v>108.00437974142287</v>
      </c>
      <c r="N23" s="759">
        <f>K13*N13</f>
        <v>0</v>
      </c>
      <c r="O23" s="757">
        <f>K23/21.5*1000</f>
        <v>2885.8213758813845</v>
      </c>
    </row>
    <row r="24" spans="1:13" s="526" customFormat="1" ht="33">
      <c r="A24" s="367">
        <v>4</v>
      </c>
      <c r="B24" s="589" t="s">
        <v>443</v>
      </c>
      <c r="C24" s="437"/>
      <c r="D24" s="617">
        <f>SUM(D25:D27)</f>
        <v>100</v>
      </c>
      <c r="E24" s="617">
        <f>SUM(E25:E27)</f>
        <v>100</v>
      </c>
      <c r="F24" s="617">
        <f>SUM(F25:F27)</f>
        <v>100</v>
      </c>
      <c r="G24" s="617"/>
      <c r="H24" s="617">
        <f>SUM(H25:H27)</f>
        <v>100</v>
      </c>
      <c r="I24" s="616" t="s">
        <v>442</v>
      </c>
      <c r="J24" s="617">
        <f>SUM(J25:J27)</f>
        <v>100</v>
      </c>
      <c r="K24" s="617">
        <f>SUM(K25:K27)</f>
        <v>100.00000000000001</v>
      </c>
      <c r="L24" s="612"/>
      <c r="M24" s="612"/>
    </row>
    <row r="25" spans="1:13" ht="18.75">
      <c r="A25" s="437"/>
      <c r="B25" s="597" t="s">
        <v>119</v>
      </c>
      <c r="C25" s="437" t="s">
        <v>1040</v>
      </c>
      <c r="D25" s="618">
        <f aca="true" t="shared" si="3" ref="D25:H27">D20/D$18*100</f>
        <v>57.20288464219777</v>
      </c>
      <c r="E25" s="618">
        <f t="shared" si="3"/>
        <v>57.300736073047155</v>
      </c>
      <c r="F25" s="618">
        <f t="shared" si="3"/>
        <v>56.99999403819472</v>
      </c>
      <c r="G25" s="618">
        <f t="shared" si="3"/>
        <v>56.89896639351283</v>
      </c>
      <c r="H25" s="618">
        <f t="shared" si="3"/>
        <v>56.829419035846726</v>
      </c>
      <c r="I25" s="619" t="s">
        <v>442</v>
      </c>
      <c r="J25" s="618">
        <f aca="true" t="shared" si="4" ref="J25:K27">J20/J$18*100</f>
        <v>56.93432007400555</v>
      </c>
      <c r="K25" s="618">
        <f t="shared" si="4"/>
        <v>57.01869341131049</v>
      </c>
      <c r="L25" s="620"/>
      <c r="M25" s="620"/>
    </row>
    <row r="26" spans="1:13" ht="18.75">
      <c r="A26" s="437"/>
      <c r="B26" s="597" t="s">
        <v>120</v>
      </c>
      <c r="C26" s="437" t="s">
        <v>1040</v>
      </c>
      <c r="D26" s="618">
        <f t="shared" si="3"/>
        <v>34.198486596720954</v>
      </c>
      <c r="E26" s="618">
        <f t="shared" si="3"/>
        <v>35.19683529294783</v>
      </c>
      <c r="F26" s="618">
        <f t="shared" si="3"/>
        <v>36.20001345664618</v>
      </c>
      <c r="G26" s="618">
        <f t="shared" si="3"/>
        <v>36.804314307740626</v>
      </c>
      <c r="H26" s="618">
        <f t="shared" si="3"/>
        <v>37.39184177997528</v>
      </c>
      <c r="I26" s="619" t="s">
        <v>442</v>
      </c>
      <c r="J26" s="618">
        <f t="shared" si="4"/>
        <v>37.10946654332408</v>
      </c>
      <c r="K26" s="618">
        <f t="shared" si="4"/>
        <v>37.37436791457511</v>
      </c>
      <c r="L26" s="620"/>
      <c r="M26" s="620"/>
    </row>
    <row r="27" spans="1:13" ht="18.75">
      <c r="A27" s="437"/>
      <c r="B27" s="597" t="s">
        <v>121</v>
      </c>
      <c r="C27" s="437" t="s">
        <v>1040</v>
      </c>
      <c r="D27" s="618">
        <f t="shared" si="3"/>
        <v>8.59862876108127</v>
      </c>
      <c r="E27" s="618">
        <f t="shared" si="3"/>
        <v>7.502428634005007</v>
      </c>
      <c r="F27" s="618">
        <f t="shared" si="3"/>
        <v>6.79999250515909</v>
      </c>
      <c r="G27" s="618">
        <f t="shared" si="3"/>
        <v>6.296719298746538</v>
      </c>
      <c r="H27" s="618">
        <f t="shared" si="3"/>
        <v>5.778739184177997</v>
      </c>
      <c r="I27" s="619" t="s">
        <v>442</v>
      </c>
      <c r="J27" s="618">
        <f t="shared" si="4"/>
        <v>5.9562133826703665</v>
      </c>
      <c r="K27" s="618">
        <f t="shared" si="4"/>
        <v>5.606938674114418</v>
      </c>
      <c r="L27" s="620"/>
      <c r="M27" s="620"/>
    </row>
    <row r="28" spans="1:13" s="526" customFormat="1" ht="33">
      <c r="A28" s="367">
        <v>5</v>
      </c>
      <c r="B28" s="589" t="s">
        <v>444</v>
      </c>
      <c r="C28" s="437"/>
      <c r="D28" s="437"/>
      <c r="E28" s="437"/>
      <c r="F28" s="621">
        <f>SUM(F29:F32)</f>
        <v>100</v>
      </c>
      <c r="G28" s="621"/>
      <c r="H28" s="621">
        <f>SUM(H29:H32)</f>
        <v>100</v>
      </c>
      <c r="I28" s="621">
        <f>SUM(I29:I32)</f>
        <v>0</v>
      </c>
      <c r="J28" s="621">
        <f>SUM(J29:J32)</f>
        <v>100</v>
      </c>
      <c r="K28" s="621">
        <f>SUM(K29:K32)</f>
        <v>100</v>
      </c>
      <c r="L28" s="612"/>
      <c r="M28" s="612"/>
    </row>
    <row r="29" spans="1:13" ht="18.75">
      <c r="A29" s="437"/>
      <c r="B29" s="597" t="s">
        <v>1044</v>
      </c>
      <c r="C29" s="437" t="s">
        <v>1040</v>
      </c>
      <c r="D29" s="437"/>
      <c r="E29" s="437"/>
      <c r="F29" s="622">
        <v>9</v>
      </c>
      <c r="G29" s="476">
        <v>8.5</v>
      </c>
      <c r="H29" s="476">
        <v>8.5</v>
      </c>
      <c r="I29" s="476"/>
      <c r="J29" s="476">
        <v>8.4</v>
      </c>
      <c r="K29" s="622">
        <v>8.5</v>
      </c>
      <c r="L29" s="620"/>
      <c r="M29" s="620"/>
    </row>
    <row r="30" spans="1:13" ht="18.75">
      <c r="A30" s="437"/>
      <c r="B30" s="597" t="s">
        <v>1045</v>
      </c>
      <c r="C30" s="437" t="s">
        <v>1040</v>
      </c>
      <c r="D30" s="437"/>
      <c r="E30" s="437"/>
      <c r="F30" s="622">
        <v>7.4</v>
      </c>
      <c r="G30" s="476">
        <v>7.1</v>
      </c>
      <c r="H30" s="476">
        <v>7</v>
      </c>
      <c r="I30" s="476"/>
      <c r="J30" s="476">
        <v>7.05</v>
      </c>
      <c r="K30" s="622">
        <v>7</v>
      </c>
      <c r="L30" s="620"/>
      <c r="M30" s="620"/>
    </row>
    <row r="31" spans="1:13" ht="18.75">
      <c r="A31" s="437"/>
      <c r="B31" s="597" t="s">
        <v>1046</v>
      </c>
      <c r="C31" s="437" t="s">
        <v>1040</v>
      </c>
      <c r="D31" s="437"/>
      <c r="E31" s="437"/>
      <c r="F31" s="622">
        <v>38.3</v>
      </c>
      <c r="G31" s="476">
        <v>38.4</v>
      </c>
      <c r="H31" s="476">
        <v>38.8</v>
      </c>
      <c r="I31" s="476"/>
      <c r="J31" s="476">
        <v>38.72</v>
      </c>
      <c r="K31" s="622">
        <v>38.8</v>
      </c>
      <c r="L31" s="620"/>
      <c r="M31" s="620"/>
    </row>
    <row r="32" spans="1:13" ht="18.75">
      <c r="A32" s="437"/>
      <c r="B32" s="597" t="s">
        <v>189</v>
      </c>
      <c r="C32" s="437" t="s">
        <v>1040</v>
      </c>
      <c r="D32" s="437"/>
      <c r="E32" s="437"/>
      <c r="F32" s="622">
        <v>45.3</v>
      </c>
      <c r="G32" s="476">
        <v>46</v>
      </c>
      <c r="H32" s="476">
        <v>45.7</v>
      </c>
      <c r="I32" s="476"/>
      <c r="J32" s="476">
        <v>45.83</v>
      </c>
      <c r="K32" s="622">
        <v>45.7</v>
      </c>
      <c r="L32" s="620"/>
      <c r="M32" s="620"/>
    </row>
    <row r="33" spans="1:13" ht="18.75">
      <c r="A33" s="367">
        <v>6</v>
      </c>
      <c r="B33" s="589" t="s">
        <v>1008</v>
      </c>
      <c r="C33" s="437" t="s">
        <v>1038</v>
      </c>
      <c r="D33" s="437"/>
      <c r="E33" s="437"/>
      <c r="F33" s="622"/>
      <c r="G33" s="622"/>
      <c r="H33" s="622"/>
      <c r="I33" s="622"/>
      <c r="J33" s="622"/>
      <c r="K33" s="622"/>
      <c r="L33" s="620"/>
      <c r="M33" s="620"/>
    </row>
    <row r="34" spans="1:13" ht="18.75">
      <c r="A34" s="437"/>
      <c r="B34" s="597" t="s">
        <v>117</v>
      </c>
      <c r="C34" s="437" t="s">
        <v>1038</v>
      </c>
      <c r="D34" s="623">
        <f>'2. CN NN DV'!D9</f>
        <v>21519.634</v>
      </c>
      <c r="E34" s="623">
        <f>'2. CN NN DV'!E9</f>
        <v>30330.751</v>
      </c>
      <c r="F34" s="623">
        <f>'2. CN NN DV'!F9</f>
        <v>31212.796</v>
      </c>
      <c r="G34" s="623">
        <f>'2. CN NN DV'!G9</f>
        <v>32245.617</v>
      </c>
      <c r="H34" s="623">
        <f>'2. CN NN DV'!H9</f>
        <v>34500</v>
      </c>
      <c r="I34" s="623">
        <f>'2. CN NN DV'!I9</f>
        <v>16560</v>
      </c>
      <c r="J34" s="623">
        <f>'2. CN NN DV'!J9</f>
        <v>34560</v>
      </c>
      <c r="K34" s="623">
        <f>'2. CN NN DV'!K9</f>
        <v>37150</v>
      </c>
      <c r="L34" s="600">
        <f>J34/G34*100</f>
        <v>107.17735684821909</v>
      </c>
      <c r="M34" s="600">
        <f>K34/J34*100</f>
        <v>107.49421296296295</v>
      </c>
    </row>
    <row r="35" spans="1:13" ht="18.75">
      <c r="A35" s="437"/>
      <c r="B35" s="597" t="s">
        <v>118</v>
      </c>
      <c r="C35" s="437" t="s">
        <v>1038</v>
      </c>
      <c r="D35" s="624">
        <f>'2. CN NN DV'!D67+'2. CN NN DV'!D113</f>
        <v>335448.856</v>
      </c>
      <c r="E35" s="624">
        <f>'2. CN NN DV'!E67+'2. CN NN DV'!E113</f>
        <v>455346.232</v>
      </c>
      <c r="F35" s="624">
        <f>'2. CN NN DV'!F67+'2. CN NN DV'!F113</f>
        <v>535666.201</v>
      </c>
      <c r="G35" s="624">
        <f>'2. CN NN DV'!G67+'2. CN NN DV'!G113</f>
        <v>622676.845</v>
      </c>
      <c r="H35" s="624">
        <f>'2. CN NN DV'!H67+'2. CN NN DV'!H113</f>
        <v>716700</v>
      </c>
      <c r="I35" s="624">
        <f>'2. CN NN DV'!I67+'2. CN NN DV'!I113</f>
        <v>9801.3</v>
      </c>
      <c r="J35" s="624">
        <f>'2. CN NN DV'!J67+'2. CN NN DV'!J113</f>
        <v>729500</v>
      </c>
      <c r="K35" s="624">
        <f>'2. CN NN DV'!K67+'2. CN NN DV'!K113</f>
        <v>861700</v>
      </c>
      <c r="L35" s="600">
        <f>J35/G35*100</f>
        <v>117.15547251480021</v>
      </c>
      <c r="M35" s="600">
        <f>K35/J35*100</f>
        <v>118.12200137080191</v>
      </c>
    </row>
    <row r="36" spans="1:13" ht="18.75">
      <c r="A36" s="437"/>
      <c r="B36" s="597" t="s">
        <v>1043</v>
      </c>
      <c r="C36" s="437" t="s">
        <v>1038</v>
      </c>
      <c r="D36" s="437"/>
      <c r="E36" s="437"/>
      <c r="F36" s="622"/>
      <c r="G36" s="622">
        <f>G21</f>
        <v>51559.9</v>
      </c>
      <c r="H36" s="622">
        <f>H21</f>
        <v>60500</v>
      </c>
      <c r="I36" s="622">
        <f>I21</f>
        <v>29533</v>
      </c>
      <c r="J36" s="622">
        <f>J21</f>
        <v>60173</v>
      </c>
      <c r="K36" s="622">
        <f>K21</f>
        <v>67479.94988610479</v>
      </c>
      <c r="L36" s="600">
        <f>J36/G36*100</f>
        <v>116.70503627819294</v>
      </c>
      <c r="M36" s="600">
        <f>K36/J36*100</f>
        <v>112.1432368107038</v>
      </c>
    </row>
    <row r="37" spans="1:13" ht="18.75">
      <c r="A37" s="437"/>
      <c r="B37" s="589" t="s">
        <v>445</v>
      </c>
      <c r="C37" s="437" t="s">
        <v>1038</v>
      </c>
      <c r="D37" s="437"/>
      <c r="E37" s="437"/>
      <c r="F37" s="622"/>
      <c r="G37" s="622"/>
      <c r="H37" s="622"/>
      <c r="I37" s="622"/>
      <c r="J37" s="622"/>
      <c r="K37" s="622"/>
      <c r="L37" s="620"/>
      <c r="M37" s="620"/>
    </row>
    <row r="38" spans="1:13" ht="18.75">
      <c r="A38" s="437"/>
      <c r="B38" s="597" t="s">
        <v>117</v>
      </c>
      <c r="C38" s="437" t="s">
        <v>1038</v>
      </c>
      <c r="D38" s="623">
        <f>'2. CN NN DV'!D10</f>
        <v>7792</v>
      </c>
      <c r="E38" s="623">
        <f>'2. CN NN DV'!E10</f>
        <v>8103</v>
      </c>
      <c r="F38" s="623">
        <f>'2. CN NN DV'!F10</f>
        <v>8524.5</v>
      </c>
      <c r="G38" s="623">
        <f>'2. CN NN DV'!G10</f>
        <v>8867.6</v>
      </c>
      <c r="H38" s="623">
        <f>'2. CN NN DV'!H10</f>
        <v>9260</v>
      </c>
      <c r="I38" s="623">
        <f>'2. CN NN DV'!I10</f>
        <v>4300</v>
      </c>
      <c r="J38" s="623">
        <f>'2. CN NN DV'!J10</f>
        <v>9260</v>
      </c>
      <c r="K38" s="623">
        <f>'2. CN NN DV'!K10</f>
        <v>9680</v>
      </c>
      <c r="L38" s="600">
        <f>J38/G38*100</f>
        <v>104.42509810997338</v>
      </c>
      <c r="M38" s="600">
        <f>K38/J38*100</f>
        <v>104.53563714902808</v>
      </c>
    </row>
    <row r="39" spans="1:13" ht="18.75">
      <c r="A39" s="437"/>
      <c r="B39" s="597" t="s">
        <v>118</v>
      </c>
      <c r="C39" s="437" t="s">
        <v>1038</v>
      </c>
      <c r="D39" s="624">
        <f>'2. CN NN DV'!D68+'2. CN NN DV'!D114</f>
        <v>108573</v>
      </c>
      <c r="E39" s="624">
        <f>'2. CN NN DV'!E68+'2. CN NN DV'!E114</f>
        <v>127209</v>
      </c>
      <c r="F39" s="624">
        <f>'2. CN NN DV'!F68+'2. CN NN DV'!F114</f>
        <v>148990</v>
      </c>
      <c r="G39" s="624">
        <f>'2. CN NN DV'!G68+'2. CN NN DV'!G114</f>
        <v>169854</v>
      </c>
      <c r="H39" s="624">
        <f>'2. CN NN DV'!H68+'2. CN NN DV'!H114</f>
        <v>192770</v>
      </c>
      <c r="I39" s="624">
        <f>'2. CN NN DV'!I68+'2. CN NN DV'!I114</f>
        <v>6120.400000000001</v>
      </c>
      <c r="J39" s="624">
        <f>'2. CN NN DV'!J68+'2. CN NN DV'!J114</f>
        <v>194250</v>
      </c>
      <c r="K39" s="624">
        <f>'2. CN NN DV'!K68+'2. CN NN DV'!K114</f>
        <v>222330</v>
      </c>
      <c r="L39" s="600">
        <f>J39/G39*100</f>
        <v>114.36292345190576</v>
      </c>
      <c r="M39" s="600">
        <f>K39/J39*100</f>
        <v>114.45559845559845</v>
      </c>
    </row>
    <row r="40" spans="1:13" ht="18.75">
      <c r="A40" s="437"/>
      <c r="B40" s="597" t="s">
        <v>1043</v>
      </c>
      <c r="C40" s="437" t="s">
        <v>1038</v>
      </c>
      <c r="D40" s="437"/>
      <c r="E40" s="437"/>
      <c r="F40" s="625">
        <f>F11</f>
        <v>11776.97</v>
      </c>
      <c r="G40" s="625">
        <f>G11</f>
        <v>13433.4</v>
      </c>
      <c r="H40" s="625">
        <v>13533.2</v>
      </c>
      <c r="I40" s="626">
        <f>I11</f>
        <v>7367.2</v>
      </c>
      <c r="J40" s="625">
        <f>J11</f>
        <v>15340</v>
      </c>
      <c r="K40" s="625">
        <f>K11</f>
        <v>17100</v>
      </c>
      <c r="L40" s="600">
        <f>J40/G40*100</f>
        <v>114.19298167254755</v>
      </c>
      <c r="M40" s="600">
        <f>K40/J40*100</f>
        <v>111.47327249022166</v>
      </c>
    </row>
    <row r="41" spans="1:13" s="526" customFormat="1" ht="18.75">
      <c r="A41" s="367"/>
      <c r="B41" s="589" t="s">
        <v>446</v>
      </c>
      <c r="C41" s="437" t="s">
        <v>1038</v>
      </c>
      <c r="D41" s="437"/>
      <c r="E41" s="437"/>
      <c r="F41" s="622"/>
      <c r="G41" s="622"/>
      <c r="H41" s="622"/>
      <c r="I41" s="612"/>
      <c r="J41" s="627"/>
      <c r="K41" s="627"/>
      <c r="L41" s="600"/>
      <c r="M41" s="600"/>
    </row>
    <row r="42" spans="1:13" ht="18.75">
      <c r="A42" s="437"/>
      <c r="B42" s="597" t="s">
        <v>117</v>
      </c>
      <c r="C42" s="437" t="s">
        <v>1038</v>
      </c>
      <c r="D42" s="437"/>
      <c r="E42" s="437"/>
      <c r="F42" s="608">
        <v>14610</v>
      </c>
      <c r="G42" s="608">
        <f>'2. CN NN DV'!G11</f>
        <v>26323</v>
      </c>
      <c r="H42" s="608">
        <f>'2. CN NN DV'!H11</f>
        <v>27204</v>
      </c>
      <c r="I42" s="608">
        <f>'2. CN NN DV'!I11</f>
        <v>12581</v>
      </c>
      <c r="J42" s="608">
        <f>'2. CN NN DV'!J11</f>
        <v>27279</v>
      </c>
      <c r="K42" s="608">
        <f>'2. CN NN DV'!K11</f>
        <v>28306.591000000004</v>
      </c>
      <c r="L42" s="600">
        <f aca="true" t="shared" si="5" ref="L42:L50">J42/G42*100</f>
        <v>103.63180488546138</v>
      </c>
      <c r="M42" s="600">
        <f aca="true" t="shared" si="6" ref="M42:M50">K42/J42*100</f>
        <v>103.76696726419593</v>
      </c>
    </row>
    <row r="43" spans="1:13" ht="18.75">
      <c r="A43" s="437"/>
      <c r="B43" s="597" t="s">
        <v>118</v>
      </c>
      <c r="C43" s="437" t="s">
        <v>1038</v>
      </c>
      <c r="D43" s="437"/>
      <c r="E43" s="437"/>
      <c r="F43" s="608">
        <v>271550</v>
      </c>
      <c r="G43" s="608">
        <f>'2. CN NN DV'!G69+'2. CN NN DV'!G115</f>
        <v>473012.73</v>
      </c>
      <c r="H43" s="608">
        <f>'2. CN NN DV'!H69+'2. CN NN DV'!H115</f>
        <v>586200</v>
      </c>
      <c r="I43" s="608">
        <f>'2. CN NN DV'!I69+'2. CN NN DV'!I115</f>
        <v>7432.403389940699</v>
      </c>
      <c r="J43" s="608">
        <f>'2. CN NN DV'!J69+'2. CN NN DV'!J115</f>
        <v>537324.144</v>
      </c>
      <c r="K43" s="608">
        <f>'2. CN NN DV'!K69+'2. CN NN DV'!K115</f>
        <v>610900</v>
      </c>
      <c r="L43" s="600">
        <f t="shared" si="5"/>
        <v>113.59612752916819</v>
      </c>
      <c r="M43" s="600">
        <f t="shared" si="6"/>
        <v>113.69301134549428</v>
      </c>
    </row>
    <row r="44" spans="1:13" ht="18.75">
      <c r="A44" s="437"/>
      <c r="B44" s="597" t="s">
        <v>1043</v>
      </c>
      <c r="C44" s="437" t="s">
        <v>1038</v>
      </c>
      <c r="D44" s="437"/>
      <c r="E44" s="437"/>
      <c r="F44" s="625">
        <f aca="true" t="shared" si="7" ref="F44:K44">F16</f>
        <v>33986.24</v>
      </c>
      <c r="G44" s="625">
        <f t="shared" si="7"/>
        <v>38376.58000000001</v>
      </c>
      <c r="H44" s="625">
        <f t="shared" si="7"/>
        <v>43180</v>
      </c>
      <c r="I44" s="625">
        <f t="shared" si="7"/>
        <v>21695.7</v>
      </c>
      <c r="J44" s="625">
        <f t="shared" si="7"/>
        <v>43249</v>
      </c>
      <c r="K44" s="625">
        <f t="shared" si="7"/>
        <v>47589.80637813212</v>
      </c>
      <c r="L44" s="600">
        <f t="shared" si="5"/>
        <v>112.69633719315266</v>
      </c>
      <c r="M44" s="600">
        <f t="shared" si="6"/>
        <v>110.03677860327896</v>
      </c>
    </row>
    <row r="45" spans="1:13" s="526" customFormat="1" ht="33">
      <c r="A45" s="367">
        <v>7</v>
      </c>
      <c r="B45" s="589" t="s">
        <v>195</v>
      </c>
      <c r="C45" s="437" t="s">
        <v>1038</v>
      </c>
      <c r="D45" s="437"/>
      <c r="E45" s="437"/>
      <c r="F45" s="138">
        <v>86955</v>
      </c>
      <c r="G45" s="505">
        <v>98477.61</v>
      </c>
      <c r="H45" s="505">
        <v>112400</v>
      </c>
      <c r="I45" s="505">
        <v>53600.54</v>
      </c>
      <c r="J45" s="505">
        <v>111641.93</v>
      </c>
      <c r="K45" s="609">
        <v>117000</v>
      </c>
      <c r="L45" s="600">
        <f t="shared" si="5"/>
        <v>113.36783051497694</v>
      </c>
      <c r="M45" s="600">
        <f t="shared" si="6"/>
        <v>104.79933480189747</v>
      </c>
    </row>
    <row r="46" spans="1:13" s="526" customFormat="1" ht="33">
      <c r="A46" s="367">
        <v>8</v>
      </c>
      <c r="B46" s="589" t="s">
        <v>1118</v>
      </c>
      <c r="C46" s="437" t="s">
        <v>1051</v>
      </c>
      <c r="D46" s="437"/>
      <c r="E46" s="437"/>
      <c r="F46" s="137">
        <v>10489</v>
      </c>
      <c r="G46" s="505">
        <v>10915</v>
      </c>
      <c r="H46" s="505">
        <v>11860</v>
      </c>
      <c r="I46" s="505">
        <v>5825</v>
      </c>
      <c r="J46" s="505">
        <v>12432</v>
      </c>
      <c r="K46" s="611">
        <v>12324</v>
      </c>
      <c r="L46" s="600">
        <f t="shared" si="5"/>
        <v>113.89830508474577</v>
      </c>
      <c r="M46" s="600">
        <f t="shared" si="6"/>
        <v>99.13127413127413</v>
      </c>
    </row>
    <row r="47" spans="1:13" ht="33">
      <c r="A47" s="437"/>
      <c r="B47" s="592" t="s">
        <v>107</v>
      </c>
      <c r="C47" s="593" t="s">
        <v>1051</v>
      </c>
      <c r="D47" s="593"/>
      <c r="E47" s="593"/>
      <c r="F47" s="135">
        <v>1191.3</v>
      </c>
      <c r="G47" s="135">
        <v>1120</v>
      </c>
      <c r="H47" s="135">
        <v>1350</v>
      </c>
      <c r="I47" s="643">
        <v>559.5</v>
      </c>
      <c r="J47" s="613">
        <v>1227</v>
      </c>
      <c r="K47" s="628">
        <v>1266</v>
      </c>
      <c r="L47" s="600">
        <f t="shared" si="5"/>
        <v>109.55357142857143</v>
      </c>
      <c r="M47" s="600">
        <f t="shared" si="6"/>
        <v>103.17848410757946</v>
      </c>
    </row>
    <row r="48" spans="1:13" s="526" customFormat="1" ht="33">
      <c r="A48" s="367">
        <v>9</v>
      </c>
      <c r="B48" s="589" t="s">
        <v>1119</v>
      </c>
      <c r="C48" s="437" t="s">
        <v>1051</v>
      </c>
      <c r="D48" s="437"/>
      <c r="E48" s="437"/>
      <c r="F48" s="137">
        <v>10466</v>
      </c>
      <c r="G48" s="505">
        <v>11052</v>
      </c>
      <c r="H48" s="505">
        <v>12130</v>
      </c>
      <c r="I48" s="505">
        <v>5753</v>
      </c>
      <c r="J48" s="505">
        <v>11991</v>
      </c>
      <c r="K48" s="609">
        <v>12500</v>
      </c>
      <c r="L48" s="600">
        <f t="shared" si="5"/>
        <v>108.49619978284473</v>
      </c>
      <c r="M48" s="600">
        <f t="shared" si="6"/>
        <v>104.24485030439496</v>
      </c>
    </row>
    <row r="49" spans="1:13" ht="33">
      <c r="A49" s="437"/>
      <c r="B49" s="592" t="s">
        <v>108</v>
      </c>
      <c r="C49" s="593" t="s">
        <v>1051</v>
      </c>
      <c r="D49" s="593"/>
      <c r="E49" s="593"/>
      <c r="F49" s="136">
        <v>961</v>
      </c>
      <c r="G49" s="136">
        <v>980</v>
      </c>
      <c r="H49" s="136">
        <v>1050</v>
      </c>
      <c r="I49" s="135">
        <v>547.9</v>
      </c>
      <c r="J49" s="613">
        <v>1009</v>
      </c>
      <c r="K49" s="613">
        <v>1085</v>
      </c>
      <c r="L49" s="600">
        <f t="shared" si="5"/>
        <v>102.9591836734694</v>
      </c>
      <c r="M49" s="600">
        <f t="shared" si="6"/>
        <v>107.53221010901883</v>
      </c>
    </row>
    <row r="50" spans="1:13" s="526" customFormat="1" ht="18.75">
      <c r="A50" s="367">
        <v>10</v>
      </c>
      <c r="B50" s="589" t="s">
        <v>1092</v>
      </c>
      <c r="C50" s="437" t="s">
        <v>1038</v>
      </c>
      <c r="D50" s="437"/>
      <c r="E50" s="437"/>
      <c r="F50" s="591">
        <v>28242</v>
      </c>
      <c r="G50" s="644">
        <v>31511</v>
      </c>
      <c r="H50" s="644">
        <v>33870</v>
      </c>
      <c r="I50" s="644">
        <v>16603</v>
      </c>
      <c r="J50" s="644">
        <v>32451</v>
      </c>
      <c r="K50" s="591">
        <v>35056</v>
      </c>
      <c r="L50" s="591">
        <f t="shared" si="5"/>
        <v>102.98308527180984</v>
      </c>
      <c r="M50" s="591">
        <f t="shared" si="6"/>
        <v>108.02748759668424</v>
      </c>
    </row>
    <row r="51" spans="1:13" ht="18.75">
      <c r="A51" s="437"/>
      <c r="B51" s="592" t="s">
        <v>1049</v>
      </c>
      <c r="C51" s="437"/>
      <c r="D51" s="437"/>
      <c r="E51" s="437"/>
      <c r="F51" s="600"/>
      <c r="G51" s="600"/>
      <c r="H51" s="600"/>
      <c r="I51" s="600"/>
      <c r="J51" s="600"/>
      <c r="K51" s="600"/>
      <c r="L51" s="620"/>
      <c r="M51" s="620"/>
    </row>
    <row r="52" spans="1:13" ht="18.75">
      <c r="A52" s="437"/>
      <c r="B52" s="597" t="s">
        <v>1052</v>
      </c>
      <c r="C52" s="437" t="s">
        <v>1038</v>
      </c>
      <c r="D52" s="437"/>
      <c r="E52" s="437"/>
      <c r="F52" s="600"/>
      <c r="G52" s="645">
        <v>12013</v>
      </c>
      <c r="H52" s="645">
        <v>13470</v>
      </c>
      <c r="I52" s="645">
        <v>6000</v>
      </c>
      <c r="J52" s="645">
        <v>13100</v>
      </c>
      <c r="K52" s="600">
        <v>13750</v>
      </c>
      <c r="L52" s="600">
        <f>J52/G52*100</f>
        <v>109.04853075834512</v>
      </c>
      <c r="M52" s="600">
        <f>K52/J52*100</f>
        <v>104.9618320610687</v>
      </c>
    </row>
    <row r="53" spans="1:13" ht="18.75">
      <c r="A53" s="437"/>
      <c r="B53" s="597" t="s">
        <v>1053</v>
      </c>
      <c r="C53" s="437" t="s">
        <v>1038</v>
      </c>
      <c r="D53" s="437"/>
      <c r="E53" s="437"/>
      <c r="F53" s="600">
        <v>15926</v>
      </c>
      <c r="G53" s="645">
        <v>18588</v>
      </c>
      <c r="H53" s="645">
        <v>19600</v>
      </c>
      <c r="I53" s="645">
        <v>9953</v>
      </c>
      <c r="J53" s="645">
        <v>19600</v>
      </c>
      <c r="K53" s="600">
        <v>20506</v>
      </c>
      <c r="L53" s="600">
        <f>J53/G53*100</f>
        <v>105.44437271357864</v>
      </c>
      <c r="M53" s="600">
        <f>K53/J53*100</f>
        <v>104.62244897959184</v>
      </c>
    </row>
    <row r="54" spans="1:13" ht="18.75">
      <c r="A54" s="437"/>
      <c r="B54" s="592" t="s">
        <v>1050</v>
      </c>
      <c r="C54" s="437"/>
      <c r="D54" s="437"/>
      <c r="E54" s="437"/>
      <c r="F54" s="600"/>
      <c r="G54" s="600"/>
      <c r="H54" s="600"/>
      <c r="I54" s="600"/>
      <c r="J54" s="600"/>
      <c r="K54" s="600"/>
      <c r="L54" s="620"/>
      <c r="M54" s="620"/>
    </row>
    <row r="55" spans="1:13" ht="18.75">
      <c r="A55" s="437"/>
      <c r="B55" s="629" t="s">
        <v>1054</v>
      </c>
      <c r="C55" s="437" t="s">
        <v>1038</v>
      </c>
      <c r="D55" s="437"/>
      <c r="E55" s="437"/>
      <c r="F55" s="600">
        <v>1981.72</v>
      </c>
      <c r="G55" s="645">
        <v>2054</v>
      </c>
      <c r="H55" s="645">
        <v>2000</v>
      </c>
      <c r="I55" s="645">
        <v>968.655</v>
      </c>
      <c r="J55" s="645">
        <v>2000</v>
      </c>
      <c r="K55" s="600">
        <v>2160</v>
      </c>
      <c r="L55" s="600">
        <f>J55/G55*100</f>
        <v>97.37098344693281</v>
      </c>
      <c r="M55" s="600">
        <f>K55/J55*100</f>
        <v>108</v>
      </c>
    </row>
    <row r="56" spans="1:13" ht="18.75">
      <c r="A56" s="437"/>
      <c r="B56" s="629" t="s">
        <v>187</v>
      </c>
      <c r="C56" s="437" t="s">
        <v>1038</v>
      </c>
      <c r="D56" s="437"/>
      <c r="E56" s="437"/>
      <c r="F56" s="600">
        <v>2134.67</v>
      </c>
      <c r="G56" s="645">
        <v>2203</v>
      </c>
      <c r="H56" s="645">
        <v>2400</v>
      </c>
      <c r="I56" s="645">
        <v>1282.483</v>
      </c>
      <c r="J56" s="645">
        <v>2400</v>
      </c>
      <c r="K56" s="600">
        <v>2523</v>
      </c>
      <c r="L56" s="600">
        <f>J56/G56*100</f>
        <v>108.94235133908307</v>
      </c>
      <c r="M56" s="600">
        <f>K56/J56*100</f>
        <v>105.125</v>
      </c>
    </row>
    <row r="57" spans="1:13" ht="18.75">
      <c r="A57" s="437"/>
      <c r="B57" s="629" t="s">
        <v>1055</v>
      </c>
      <c r="C57" s="437" t="s">
        <v>1038</v>
      </c>
      <c r="D57" s="437"/>
      <c r="E57" s="437"/>
      <c r="F57" s="600">
        <v>2649.74</v>
      </c>
      <c r="G57" s="645">
        <v>26444</v>
      </c>
      <c r="H57" s="645">
        <v>3000</v>
      </c>
      <c r="I57" s="645">
        <v>1434.154</v>
      </c>
      <c r="J57" s="645">
        <v>3000</v>
      </c>
      <c r="K57" s="600">
        <v>2774</v>
      </c>
      <c r="L57" s="600">
        <f>J57/G57*100</f>
        <v>11.344728482831643</v>
      </c>
      <c r="M57" s="600">
        <f>K57/J57*100</f>
        <v>92.46666666666667</v>
      </c>
    </row>
    <row r="58" spans="1:13" ht="29.25" customHeight="1">
      <c r="A58" s="437"/>
      <c r="B58" s="629" t="s">
        <v>1123</v>
      </c>
      <c r="C58" s="437" t="s">
        <v>1038</v>
      </c>
      <c r="D58" s="437"/>
      <c r="E58" s="437"/>
      <c r="F58" s="600">
        <v>5640</v>
      </c>
      <c r="G58" s="645">
        <v>7102.068</v>
      </c>
      <c r="H58" s="645">
        <v>7694</v>
      </c>
      <c r="I58" s="645">
        <v>4017.604</v>
      </c>
      <c r="J58" s="645">
        <v>7694</v>
      </c>
      <c r="K58" s="600">
        <v>9043</v>
      </c>
      <c r="L58" s="600">
        <f>J58/G58*100</f>
        <v>108.3346428110798</v>
      </c>
      <c r="M58" s="600">
        <f>K58/J58*100</f>
        <v>117.53314270860412</v>
      </c>
    </row>
    <row r="59" spans="1:13" s="526" customFormat="1" ht="33">
      <c r="A59" s="367">
        <v>11</v>
      </c>
      <c r="B59" s="589" t="s">
        <v>177</v>
      </c>
      <c r="C59" s="437" t="s">
        <v>1038</v>
      </c>
      <c r="D59" s="437"/>
      <c r="E59" s="437"/>
      <c r="F59" s="591"/>
      <c r="G59" s="753"/>
      <c r="H59" s="753"/>
      <c r="I59" s="754"/>
      <c r="J59" s="753"/>
      <c r="K59" s="755"/>
      <c r="L59" s="612"/>
      <c r="M59" s="612"/>
    </row>
    <row r="60" spans="1:13" s="526" customFormat="1" ht="18.75">
      <c r="A60" s="366">
        <v>12</v>
      </c>
      <c r="B60" s="589" t="s">
        <v>1056</v>
      </c>
      <c r="C60" s="437" t="s">
        <v>1038</v>
      </c>
      <c r="D60" s="437"/>
      <c r="E60" s="437"/>
      <c r="F60" s="591">
        <v>9858.929</v>
      </c>
      <c r="G60" s="644">
        <v>12193</v>
      </c>
      <c r="H60" s="644">
        <v>11515</v>
      </c>
      <c r="I60" s="644">
        <v>5484.919</v>
      </c>
      <c r="J60" s="644">
        <v>13417</v>
      </c>
      <c r="K60" s="591">
        <v>16101</v>
      </c>
      <c r="L60" s="600">
        <f>J60/G60*100</f>
        <v>110.03854670712705</v>
      </c>
      <c r="M60" s="600">
        <f>K60/J60*100</f>
        <v>120.00447193858537</v>
      </c>
    </row>
    <row r="61" spans="1:13" ht="18.75">
      <c r="A61" s="437" t="s">
        <v>1047</v>
      </c>
      <c r="B61" s="629" t="s">
        <v>109</v>
      </c>
      <c r="C61" s="437" t="s">
        <v>1038</v>
      </c>
      <c r="D61" s="437"/>
      <c r="E61" s="437"/>
      <c r="F61" s="600">
        <f>F62+F63+F64+F65</f>
        <v>2812</v>
      </c>
      <c r="G61" s="600">
        <v>4938</v>
      </c>
      <c r="H61" s="600">
        <v>3702</v>
      </c>
      <c r="I61" s="600">
        <v>2981</v>
      </c>
      <c r="J61" s="600">
        <v>4216</v>
      </c>
      <c r="K61" s="600">
        <v>5117</v>
      </c>
      <c r="L61" s="600">
        <f>J61/G61*100</f>
        <v>85.37869582827055</v>
      </c>
      <c r="M61" s="600">
        <f>K61/J61*100</f>
        <v>121.37096774193547</v>
      </c>
    </row>
    <row r="62" spans="1:13" ht="18.75">
      <c r="A62" s="437"/>
      <c r="B62" s="597" t="s">
        <v>188</v>
      </c>
      <c r="C62" s="437" t="s">
        <v>1038</v>
      </c>
      <c r="D62" s="437"/>
      <c r="E62" s="437"/>
      <c r="F62" s="600">
        <v>2300</v>
      </c>
      <c r="G62" s="600">
        <v>4059</v>
      </c>
      <c r="H62" s="600">
        <v>2902</v>
      </c>
      <c r="I62" s="600">
        <v>1999</v>
      </c>
      <c r="J62" s="600">
        <v>3400</v>
      </c>
      <c r="K62" s="600">
        <v>4317</v>
      </c>
      <c r="L62" s="600">
        <f>J62/G62*100</f>
        <v>83.76447400837644</v>
      </c>
      <c r="M62" s="600">
        <f>K62/J62*100</f>
        <v>126.97058823529413</v>
      </c>
    </row>
    <row r="63" spans="1:13" ht="18.75">
      <c r="A63" s="437"/>
      <c r="B63" s="592" t="s">
        <v>116</v>
      </c>
      <c r="C63" s="437" t="s">
        <v>1038</v>
      </c>
      <c r="D63" s="437"/>
      <c r="E63" s="437"/>
      <c r="F63" s="600">
        <v>350</v>
      </c>
      <c r="G63" s="600">
        <v>819</v>
      </c>
      <c r="H63" s="600">
        <v>500</v>
      </c>
      <c r="I63" s="600">
        <v>249</v>
      </c>
      <c r="J63" s="600">
        <v>500</v>
      </c>
      <c r="K63" s="600">
        <v>500</v>
      </c>
      <c r="L63" s="600">
        <f>J63/G63*100</f>
        <v>61.05006105006105</v>
      </c>
      <c r="M63" s="600">
        <f>K63/J63*100</f>
        <v>100</v>
      </c>
    </row>
    <row r="64" spans="1:13" ht="33">
      <c r="A64" s="437"/>
      <c r="B64" s="597" t="s">
        <v>1099</v>
      </c>
      <c r="C64" s="437" t="s">
        <v>1038</v>
      </c>
      <c r="D64" s="437"/>
      <c r="E64" s="437"/>
      <c r="F64" s="600">
        <v>160</v>
      </c>
      <c r="G64" s="600">
        <v>195</v>
      </c>
      <c r="H64" s="600">
        <v>60</v>
      </c>
      <c r="I64" s="600">
        <v>50</v>
      </c>
      <c r="J64" s="600">
        <v>60</v>
      </c>
      <c r="K64" s="600">
        <v>140</v>
      </c>
      <c r="L64" s="600">
        <f>J64/G64*100</f>
        <v>30.76923076923077</v>
      </c>
      <c r="M64" s="600">
        <f>K64/J64*100</f>
        <v>233.33333333333334</v>
      </c>
    </row>
    <row r="65" spans="1:13" ht="18.75">
      <c r="A65" s="437"/>
      <c r="B65" s="597" t="s">
        <v>1057</v>
      </c>
      <c r="C65" s="437" t="s">
        <v>1038</v>
      </c>
      <c r="D65" s="437"/>
      <c r="E65" s="437"/>
      <c r="F65" s="600">
        <v>2</v>
      </c>
      <c r="G65" s="600"/>
      <c r="H65" s="600">
        <v>2</v>
      </c>
      <c r="I65" s="600"/>
      <c r="J65" s="600"/>
      <c r="K65" s="600"/>
      <c r="L65" s="600"/>
      <c r="M65" s="600"/>
    </row>
    <row r="66" spans="1:13" ht="18.75">
      <c r="A66" s="437" t="s">
        <v>1048</v>
      </c>
      <c r="B66" s="629" t="s">
        <v>1064</v>
      </c>
      <c r="C66" s="437" t="s">
        <v>1038</v>
      </c>
      <c r="D66" s="437"/>
      <c r="E66" s="437"/>
      <c r="F66" s="600">
        <v>5463.252</v>
      </c>
      <c r="G66" s="600">
        <v>7255</v>
      </c>
      <c r="H66" s="600">
        <v>7531</v>
      </c>
      <c r="I66" s="600">
        <v>3645</v>
      </c>
      <c r="J66" s="600">
        <v>8674</v>
      </c>
      <c r="K66" s="600">
        <v>10132</v>
      </c>
      <c r="L66" s="600">
        <f>J66/G66*100</f>
        <v>119.55892487939353</v>
      </c>
      <c r="M66" s="600">
        <f>K66/J66*100</f>
        <v>116.80885404657597</v>
      </c>
    </row>
    <row r="67" spans="1:13" s="631" customFormat="1" ht="18.75" hidden="1">
      <c r="A67" s="593"/>
      <c r="B67" s="592" t="s">
        <v>1049</v>
      </c>
      <c r="C67" s="593"/>
      <c r="D67" s="593"/>
      <c r="E67" s="593"/>
      <c r="F67" s="630"/>
      <c r="G67" s="630"/>
      <c r="H67" s="630"/>
      <c r="I67" s="630"/>
      <c r="J67" s="630"/>
      <c r="K67" s="630"/>
      <c r="L67" s="600"/>
      <c r="M67" s="600"/>
    </row>
    <row r="68" spans="1:13" s="631" customFormat="1" ht="18.75" hidden="1">
      <c r="A68" s="593"/>
      <c r="B68" s="597" t="s">
        <v>110</v>
      </c>
      <c r="C68" s="437" t="s">
        <v>1038</v>
      </c>
      <c r="D68" s="437"/>
      <c r="E68" s="437"/>
      <c r="F68" s="630">
        <v>2481.469</v>
      </c>
      <c r="G68" s="630"/>
      <c r="H68" s="630">
        <v>3078.2</v>
      </c>
      <c r="I68" s="630">
        <v>1597.144</v>
      </c>
      <c r="J68" s="630">
        <f>H68</f>
        <v>3078.2</v>
      </c>
      <c r="K68" s="630"/>
      <c r="L68" s="600" t="e">
        <f aca="true" t="shared" si="8" ref="L68:L75">J68/G68*100</f>
        <v>#DIV/0!</v>
      </c>
      <c r="M68" s="600">
        <f aca="true" t="shared" si="9" ref="M68:M75">K68/J68*100</f>
        <v>0</v>
      </c>
    </row>
    <row r="69" spans="1:13" s="631" customFormat="1" ht="18.75" hidden="1">
      <c r="A69" s="593"/>
      <c r="B69" s="597" t="s">
        <v>111</v>
      </c>
      <c r="C69" s="437" t="s">
        <v>1038</v>
      </c>
      <c r="D69" s="437"/>
      <c r="E69" s="437"/>
      <c r="F69" s="630">
        <v>438.116</v>
      </c>
      <c r="G69" s="630"/>
      <c r="H69" s="630">
        <v>558.751</v>
      </c>
      <c r="I69" s="630">
        <v>271.397</v>
      </c>
      <c r="J69" s="630">
        <f>H69</f>
        <v>558.751</v>
      </c>
      <c r="K69" s="630"/>
      <c r="L69" s="600" t="e">
        <f t="shared" si="8"/>
        <v>#DIV/0!</v>
      </c>
      <c r="M69" s="600">
        <f t="shared" si="9"/>
        <v>0</v>
      </c>
    </row>
    <row r="70" spans="1:13" s="631" customFormat="1" ht="18.75" hidden="1">
      <c r="A70" s="593"/>
      <c r="B70" s="597" t="s">
        <v>112</v>
      </c>
      <c r="C70" s="437" t="s">
        <v>1038</v>
      </c>
      <c r="D70" s="437"/>
      <c r="E70" s="437"/>
      <c r="F70" s="630">
        <v>61.05</v>
      </c>
      <c r="G70" s="630"/>
      <c r="H70" s="630">
        <v>69.845</v>
      </c>
      <c r="I70" s="630">
        <v>39.64</v>
      </c>
      <c r="J70" s="630">
        <f>H70</f>
        <v>69.845</v>
      </c>
      <c r="K70" s="630"/>
      <c r="L70" s="600" t="e">
        <f t="shared" si="8"/>
        <v>#DIV/0!</v>
      </c>
      <c r="M70" s="600">
        <f t="shared" si="9"/>
        <v>0</v>
      </c>
    </row>
    <row r="71" spans="1:13" s="631" customFormat="1" ht="18.75" hidden="1">
      <c r="A71" s="593"/>
      <c r="B71" s="597" t="s">
        <v>113</v>
      </c>
      <c r="C71" s="437" t="s">
        <v>1038</v>
      </c>
      <c r="D71" s="437"/>
      <c r="E71" s="437"/>
      <c r="F71" s="630">
        <v>721.175</v>
      </c>
      <c r="G71" s="630"/>
      <c r="H71" s="630">
        <v>1015.673</v>
      </c>
      <c r="I71" s="630">
        <v>570.394</v>
      </c>
      <c r="J71" s="630">
        <f>H71</f>
        <v>1015.673</v>
      </c>
      <c r="K71" s="630"/>
      <c r="L71" s="600" t="e">
        <f t="shared" si="8"/>
        <v>#DIV/0!</v>
      </c>
      <c r="M71" s="600">
        <f t="shared" si="9"/>
        <v>0</v>
      </c>
    </row>
    <row r="72" spans="1:13" s="526" customFormat="1" ht="18.75">
      <c r="A72" s="367">
        <v>13</v>
      </c>
      <c r="B72" s="589" t="s">
        <v>1065</v>
      </c>
      <c r="C72" s="367" t="s">
        <v>1038</v>
      </c>
      <c r="D72" s="367"/>
      <c r="E72" s="367"/>
      <c r="F72" s="137">
        <f>SUM(F73:F75)</f>
        <v>34500</v>
      </c>
      <c r="G72" s="137">
        <f>'9.DTPT'!F6</f>
        <v>40205.86</v>
      </c>
      <c r="H72" s="137">
        <f>'9.DTPT'!G6</f>
        <v>44415.06</v>
      </c>
      <c r="I72" s="137" t="e">
        <f>'9.DTPT'!#REF!</f>
        <v>#REF!</v>
      </c>
      <c r="J72" s="137">
        <f>'9.DTPT'!H6</f>
        <v>45605.06</v>
      </c>
      <c r="K72" s="137">
        <f>'9.DTPT'!I6</f>
        <v>54341</v>
      </c>
      <c r="L72" s="591">
        <f t="shared" si="8"/>
        <v>113.42888822674107</v>
      </c>
      <c r="M72" s="591">
        <f t="shared" si="9"/>
        <v>119.15563755425384</v>
      </c>
    </row>
    <row r="73" spans="1:13" ht="18.75">
      <c r="A73" s="437"/>
      <c r="B73" s="597" t="s">
        <v>1088</v>
      </c>
      <c r="C73" s="437" t="s">
        <v>1038</v>
      </c>
      <c r="D73" s="437"/>
      <c r="E73" s="437"/>
      <c r="F73" s="139">
        <v>1600</v>
      </c>
      <c r="G73" s="624">
        <f>'9.DTPT'!F18+'9.DTPT'!F22</f>
        <v>1500</v>
      </c>
      <c r="H73" s="624">
        <f>'9.DTPT'!G18+'9.DTPT'!G22</f>
        <v>1650</v>
      </c>
      <c r="I73" s="624" t="e">
        <f>'9.DTPT'!#REF!+'9.DTPT'!#REF!</f>
        <v>#REF!</v>
      </c>
      <c r="J73" s="624">
        <f>'9.DTPT'!H18+'9.DTPT'!H22</f>
        <v>1650</v>
      </c>
      <c r="K73" s="624">
        <f>'9.DTPT'!I18+'9.DTPT'!I22</f>
        <v>1900</v>
      </c>
      <c r="L73" s="600">
        <f t="shared" si="8"/>
        <v>110.00000000000001</v>
      </c>
      <c r="M73" s="600">
        <f t="shared" si="9"/>
        <v>115.15151515151516</v>
      </c>
    </row>
    <row r="74" spans="1:13" ht="18.75">
      <c r="A74" s="437"/>
      <c r="B74" s="597" t="s">
        <v>1089</v>
      </c>
      <c r="C74" s="437" t="s">
        <v>1038</v>
      </c>
      <c r="D74" s="437"/>
      <c r="E74" s="437"/>
      <c r="F74" s="139">
        <v>14180</v>
      </c>
      <c r="G74" s="624">
        <f>G72-G73-G75</f>
        <v>19524.673</v>
      </c>
      <c r="H74" s="624">
        <f>H72-H73-H75</f>
        <v>21765.059999999998</v>
      </c>
      <c r="I74" s="624" t="e">
        <f>I72-I73-I75</f>
        <v>#REF!</v>
      </c>
      <c r="J74" s="624">
        <f>J72-J73-J75</f>
        <v>22955.059999999998</v>
      </c>
      <c r="K74" s="624">
        <f>K72-K73-K75</f>
        <v>28241</v>
      </c>
      <c r="L74" s="600">
        <f t="shared" si="8"/>
        <v>117.5694978348677</v>
      </c>
      <c r="M74" s="600">
        <f t="shared" si="9"/>
        <v>123.02734124850905</v>
      </c>
    </row>
    <row r="75" spans="1:13" ht="18.75">
      <c r="A75" s="437"/>
      <c r="B75" s="597" t="s">
        <v>102</v>
      </c>
      <c r="C75" s="437" t="s">
        <v>1051</v>
      </c>
      <c r="D75" s="437"/>
      <c r="E75" s="437"/>
      <c r="F75" s="139">
        <v>18720</v>
      </c>
      <c r="G75" s="624">
        <f>'9.DTPT'!F26</f>
        <v>19181.187</v>
      </c>
      <c r="H75" s="624">
        <f>'9.DTPT'!G26</f>
        <v>21000</v>
      </c>
      <c r="I75" s="624" t="e">
        <f>'9.DTPT'!#REF!</f>
        <v>#REF!</v>
      </c>
      <c r="J75" s="624">
        <f>'9.DTPT'!H26</f>
        <v>21000</v>
      </c>
      <c r="K75" s="624">
        <f>'9.DTPT'!I26</f>
        <v>24200</v>
      </c>
      <c r="L75" s="600">
        <f t="shared" si="8"/>
        <v>109.48227552340737</v>
      </c>
      <c r="M75" s="600">
        <f t="shared" si="9"/>
        <v>115.23809523809523</v>
      </c>
    </row>
    <row r="76" spans="1:13" s="631" customFormat="1" ht="18.75">
      <c r="A76" s="593"/>
      <c r="B76" s="592" t="s">
        <v>1049</v>
      </c>
      <c r="C76" s="593"/>
      <c r="D76" s="593"/>
      <c r="E76" s="593"/>
      <c r="F76" s="632"/>
      <c r="G76" s="632"/>
      <c r="H76" s="632"/>
      <c r="I76" s="632"/>
      <c r="J76" s="632"/>
      <c r="K76" s="632"/>
      <c r="L76" s="632"/>
      <c r="M76" s="632"/>
    </row>
    <row r="77" spans="1:13" s="631" customFormat="1" ht="18.75">
      <c r="A77" s="593"/>
      <c r="B77" s="633" t="s">
        <v>114</v>
      </c>
      <c r="C77" s="437" t="s">
        <v>1051</v>
      </c>
      <c r="D77" s="437"/>
      <c r="E77" s="437"/>
      <c r="F77" s="632"/>
      <c r="G77" s="632"/>
      <c r="H77" s="632"/>
      <c r="I77" s="632"/>
      <c r="J77" s="632"/>
      <c r="K77" s="632"/>
      <c r="L77" s="632"/>
      <c r="M77" s="632"/>
    </row>
    <row r="78" spans="1:13" s="631" customFormat="1" ht="18.75">
      <c r="A78" s="593"/>
      <c r="B78" s="633" t="s">
        <v>115</v>
      </c>
      <c r="C78" s="437" t="s">
        <v>1051</v>
      </c>
      <c r="D78" s="437"/>
      <c r="E78" s="437"/>
      <c r="F78" s="632"/>
      <c r="G78" s="628">
        <f>G75</f>
        <v>19181.187</v>
      </c>
      <c r="H78" s="628">
        <f>H75</f>
        <v>21000</v>
      </c>
      <c r="I78" s="628" t="e">
        <f>I75</f>
        <v>#REF!</v>
      </c>
      <c r="J78" s="628">
        <f>J75</f>
        <v>21000</v>
      </c>
      <c r="K78" s="628">
        <f>K75</f>
        <v>24200</v>
      </c>
      <c r="L78" s="632"/>
      <c r="M78" s="632"/>
    </row>
    <row r="79" ht="18.75">
      <c r="H79" s="634"/>
    </row>
  </sheetData>
  <sheetProtection/>
  <mergeCells count="12">
    <mergeCell ref="G5:G6"/>
    <mergeCell ref="D5:D6"/>
    <mergeCell ref="A3:M3"/>
    <mergeCell ref="H5:J5"/>
    <mergeCell ref="F5:F6"/>
    <mergeCell ref="C5:C6"/>
    <mergeCell ref="B5:B6"/>
    <mergeCell ref="A5:A6"/>
    <mergeCell ref="K5:K6"/>
    <mergeCell ref="L5:L6"/>
    <mergeCell ref="M5:M6"/>
    <mergeCell ref="E5:E6"/>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79"/>
  <sheetViews>
    <sheetView zoomScale="85" zoomScaleNormal="85" zoomScalePageLayoutView="0" workbookViewId="0" topLeftCell="A1">
      <pane xSplit="2" ySplit="6" topLeftCell="C78" activePane="bottomRight" state="frozen"/>
      <selection pane="topLeft" activeCell="A1" sqref="A1"/>
      <selection pane="topRight" activeCell="C1" sqref="C1"/>
      <selection pane="bottomLeft" activeCell="A7" sqref="A7"/>
      <selection pane="bottomRight" activeCell="L91" sqref="L91"/>
    </sheetView>
  </sheetViews>
  <sheetFormatPr defaultColWidth="9.00390625" defaultRowHeight="15.75"/>
  <cols>
    <col min="1" max="1" width="3.625" style="584" customWidth="1"/>
    <col min="2" max="2" width="39.25390625" style="584" customWidth="1"/>
    <col min="3" max="3" width="10.625" style="584" customWidth="1"/>
    <col min="4" max="5" width="10.625" style="584" hidden="1" customWidth="1"/>
    <col min="6" max="6" width="12.75390625" style="584" hidden="1" customWidth="1"/>
    <col min="7" max="7" width="12.75390625" style="584" customWidth="1"/>
    <col min="8" max="8" width="11.125" style="584" customWidth="1"/>
    <col min="9" max="9" width="10.375" style="584" hidden="1" customWidth="1"/>
    <col min="10" max="10" width="11.50390625" style="584" customWidth="1"/>
    <col min="11" max="11" width="16.125" style="584" bestFit="1" customWidth="1"/>
    <col min="12" max="12" width="12.625" style="584" customWidth="1"/>
    <col min="13" max="13" width="12.625" style="635" customWidth="1"/>
    <col min="14" max="15" width="9.00390625" style="584" customWidth="1"/>
    <col min="16" max="16" width="11.875" style="584" bestFit="1" customWidth="1"/>
    <col min="17" max="16384" width="9.00390625" style="584" customWidth="1"/>
  </cols>
  <sheetData>
    <row r="1" spans="1:13" ht="19.5">
      <c r="A1" s="526" t="s">
        <v>1034</v>
      </c>
      <c r="B1" s="526"/>
      <c r="C1" s="526"/>
      <c r="D1" s="526"/>
      <c r="E1" s="526"/>
      <c r="F1" s="526"/>
      <c r="G1" s="526"/>
      <c r="H1" s="526"/>
      <c r="I1" s="526"/>
      <c r="J1" s="526"/>
      <c r="K1" s="526"/>
      <c r="M1" s="528" t="s">
        <v>291</v>
      </c>
    </row>
    <row r="3" spans="1:13" ht="18.75">
      <c r="A3" s="846" t="s">
        <v>122</v>
      </c>
      <c r="B3" s="846"/>
      <c r="C3" s="846"/>
      <c r="D3" s="846"/>
      <c r="E3" s="846"/>
      <c r="F3" s="846"/>
      <c r="G3" s="846"/>
      <c r="H3" s="846"/>
      <c r="I3" s="846"/>
      <c r="J3" s="846"/>
      <c r="K3" s="846"/>
      <c r="L3" s="846"/>
      <c r="M3" s="846"/>
    </row>
    <row r="5" spans="1:13" s="585" customFormat="1" ht="18.75">
      <c r="A5" s="844" t="s">
        <v>1035</v>
      </c>
      <c r="B5" s="844" t="s">
        <v>1036</v>
      </c>
      <c r="C5" s="844" t="s">
        <v>1037</v>
      </c>
      <c r="D5" s="844" t="s">
        <v>25</v>
      </c>
      <c r="E5" s="844" t="s">
        <v>603</v>
      </c>
      <c r="F5" s="844" t="s">
        <v>200</v>
      </c>
      <c r="G5" s="844" t="s">
        <v>640</v>
      </c>
      <c r="H5" s="844" t="s">
        <v>641</v>
      </c>
      <c r="I5" s="844"/>
      <c r="J5" s="844"/>
      <c r="K5" s="844" t="s">
        <v>642</v>
      </c>
      <c r="L5" s="844" t="s">
        <v>643</v>
      </c>
      <c r="M5" s="844" t="s">
        <v>644</v>
      </c>
    </row>
    <row r="6" spans="1:13" s="585" customFormat="1" ht="49.5">
      <c r="A6" s="844"/>
      <c r="B6" s="844"/>
      <c r="C6" s="844"/>
      <c r="D6" s="844"/>
      <c r="E6" s="844"/>
      <c r="F6" s="844"/>
      <c r="G6" s="844"/>
      <c r="H6" s="637" t="s">
        <v>163</v>
      </c>
      <c r="I6" s="637" t="s">
        <v>161</v>
      </c>
      <c r="J6" s="637" t="s">
        <v>95</v>
      </c>
      <c r="K6" s="844"/>
      <c r="L6" s="844"/>
      <c r="M6" s="844"/>
    </row>
    <row r="7" spans="1:13" s="588" customFormat="1" ht="18.75">
      <c r="A7" s="586">
        <v>1</v>
      </c>
      <c r="B7" s="586">
        <v>2</v>
      </c>
      <c r="C7" s="586">
        <v>3</v>
      </c>
      <c r="D7" s="586"/>
      <c r="E7" s="586"/>
      <c r="F7" s="586"/>
      <c r="G7" s="586">
        <v>4</v>
      </c>
      <c r="H7" s="586">
        <v>5</v>
      </c>
      <c r="I7" s="586">
        <v>6</v>
      </c>
      <c r="J7" s="586">
        <v>7</v>
      </c>
      <c r="K7" s="586">
        <v>8</v>
      </c>
      <c r="L7" s="586" t="s">
        <v>1228</v>
      </c>
      <c r="M7" s="587" t="s">
        <v>1229</v>
      </c>
    </row>
    <row r="8" spans="1:13" s="588" customFormat="1" ht="33">
      <c r="A8" s="366">
        <v>1</v>
      </c>
      <c r="B8" s="589" t="s">
        <v>26</v>
      </c>
      <c r="C8" s="437" t="s">
        <v>1038</v>
      </c>
      <c r="D8" s="590">
        <f aca="true" t="shared" si="0" ref="D8:K8">SUM(D10:D12)</f>
        <v>36205.524</v>
      </c>
      <c r="E8" s="590">
        <f t="shared" si="0"/>
        <v>41040.164</v>
      </c>
      <c r="F8" s="590">
        <f t="shared" si="0"/>
        <v>45984.86</v>
      </c>
      <c r="G8" s="590">
        <f t="shared" si="0"/>
        <v>51275.2</v>
      </c>
      <c r="H8" s="590">
        <f t="shared" si="0"/>
        <v>57200</v>
      </c>
      <c r="I8" s="590">
        <f t="shared" si="0"/>
        <v>24075.2</v>
      </c>
      <c r="J8" s="590">
        <f t="shared" si="0"/>
        <v>57200</v>
      </c>
      <c r="K8" s="590">
        <f t="shared" si="0"/>
        <v>64920</v>
      </c>
      <c r="L8" s="591">
        <f>J8/G8*100</f>
        <v>111.554903735139</v>
      </c>
      <c r="M8" s="591">
        <f>K8/J8*100</f>
        <v>113.4965034965035</v>
      </c>
    </row>
    <row r="9" spans="1:13" s="588" customFormat="1" ht="18.75">
      <c r="A9" s="586"/>
      <c r="B9" s="592" t="s">
        <v>1049</v>
      </c>
      <c r="C9" s="593"/>
      <c r="D9" s="586"/>
      <c r="E9" s="586"/>
      <c r="F9" s="586"/>
      <c r="G9" s="586"/>
      <c r="H9" s="594"/>
      <c r="I9" s="595"/>
      <c r="J9" s="595"/>
      <c r="K9" s="586"/>
      <c r="L9" s="596"/>
      <c r="M9" s="592"/>
    </row>
    <row r="10" spans="1:13" s="588" customFormat="1" ht="18.75">
      <c r="A10" s="586"/>
      <c r="B10" s="597" t="s">
        <v>119</v>
      </c>
      <c r="C10" s="437" t="s">
        <v>1038</v>
      </c>
      <c r="D10" s="638">
        <v>23462.499</v>
      </c>
      <c r="E10" s="638">
        <v>26808.382</v>
      </c>
      <c r="F10" s="638">
        <v>30122.43</v>
      </c>
      <c r="G10" s="598">
        <v>33615.7</v>
      </c>
      <c r="H10" s="599">
        <v>37490</v>
      </c>
      <c r="I10" s="598">
        <v>15386</v>
      </c>
      <c r="J10" s="598">
        <f>H10</f>
        <v>37490</v>
      </c>
      <c r="K10" s="599">
        <v>42640</v>
      </c>
      <c r="L10" s="600">
        <f>J10/G10*100</f>
        <v>111.52526944255214</v>
      </c>
      <c r="M10" s="600">
        <f>K10/J10*100</f>
        <v>113.73699653240865</v>
      </c>
    </row>
    <row r="11" spans="1:13" s="588" customFormat="1" ht="18.75">
      <c r="A11" s="586"/>
      <c r="B11" s="597" t="s">
        <v>120</v>
      </c>
      <c r="C11" s="437" t="s">
        <v>1038</v>
      </c>
      <c r="D11" s="638">
        <v>8936.567</v>
      </c>
      <c r="E11" s="638">
        <v>10276.671</v>
      </c>
      <c r="F11" s="638">
        <v>11776.97</v>
      </c>
      <c r="G11" s="598">
        <v>13433.4</v>
      </c>
      <c r="H11" s="599">
        <v>15340</v>
      </c>
      <c r="I11" s="598">
        <v>7367.2</v>
      </c>
      <c r="J11" s="598">
        <f>H11</f>
        <v>15340</v>
      </c>
      <c r="K11" s="599">
        <v>17740</v>
      </c>
      <c r="L11" s="600">
        <f>J11/G11*100</f>
        <v>114.19298167254755</v>
      </c>
      <c r="M11" s="600">
        <f>K11/J11*100</f>
        <v>115.64537157757498</v>
      </c>
    </row>
    <row r="12" spans="1:13" s="588" customFormat="1" ht="18.75">
      <c r="A12" s="586"/>
      <c r="B12" s="597" t="s">
        <v>121</v>
      </c>
      <c r="C12" s="437" t="s">
        <v>1038</v>
      </c>
      <c r="D12" s="638">
        <v>3806.458</v>
      </c>
      <c r="E12" s="638">
        <v>3955.111</v>
      </c>
      <c r="F12" s="638">
        <v>4085.46</v>
      </c>
      <c r="G12" s="598">
        <v>4226.1</v>
      </c>
      <c r="H12" s="599">
        <v>4370</v>
      </c>
      <c r="I12" s="598">
        <v>1322</v>
      </c>
      <c r="J12" s="598">
        <f>H12</f>
        <v>4370</v>
      </c>
      <c r="K12" s="599">
        <v>4540</v>
      </c>
      <c r="L12" s="600">
        <f>J12/G12*100</f>
        <v>103.40503064290954</v>
      </c>
      <c r="M12" s="600">
        <f>K12/J12*100</f>
        <v>103.89016018306636</v>
      </c>
    </row>
    <row r="13" spans="1:15" s="526" customFormat="1" ht="33">
      <c r="A13" s="367"/>
      <c r="B13" s="589" t="s">
        <v>27</v>
      </c>
      <c r="C13" s="437" t="s">
        <v>1038</v>
      </c>
      <c r="D13" s="590">
        <f aca="true" t="shared" si="1" ref="D13:K13">SUM(D15:D17)</f>
        <v>76024.68</v>
      </c>
      <c r="E13" s="590">
        <f t="shared" si="1"/>
        <v>85607.88</v>
      </c>
      <c r="F13" s="590">
        <f t="shared" si="1"/>
        <v>95501.82999999999</v>
      </c>
      <c r="G13" s="590">
        <f t="shared" si="1"/>
        <v>106074.38</v>
      </c>
      <c r="H13" s="590">
        <f t="shared" si="1"/>
        <v>117755</v>
      </c>
      <c r="I13" s="590">
        <f t="shared" si="1"/>
        <v>56558.79</v>
      </c>
      <c r="J13" s="590">
        <f t="shared" si="1"/>
        <v>117866</v>
      </c>
      <c r="K13" s="590">
        <f t="shared" si="1"/>
        <v>133224.87021491316</v>
      </c>
      <c r="L13" s="601">
        <f>J13/G13*100</f>
        <v>111.11636947583384</v>
      </c>
      <c r="M13" s="601">
        <f>K13/J13*100</f>
        <v>113.03078938363325</v>
      </c>
      <c r="O13" s="584"/>
    </row>
    <row r="14" spans="1:13" s="607" customFormat="1" ht="19.5">
      <c r="A14" s="602"/>
      <c r="B14" s="592" t="s">
        <v>1049</v>
      </c>
      <c r="C14" s="593"/>
      <c r="D14" s="593"/>
      <c r="E14" s="593"/>
      <c r="F14" s="603"/>
      <c r="G14" s="603"/>
      <c r="H14" s="604"/>
      <c r="I14" s="605"/>
      <c r="J14" s="605"/>
      <c r="K14" s="605"/>
      <c r="L14" s="606"/>
      <c r="M14" s="606"/>
    </row>
    <row r="15" spans="1:16" ht="18.75">
      <c r="A15" s="437"/>
      <c r="B15" s="597" t="s">
        <v>119</v>
      </c>
      <c r="C15" s="437" t="s">
        <v>1038</v>
      </c>
      <c r="D15" s="639">
        <v>43488.31</v>
      </c>
      <c r="E15" s="640">
        <v>48865.26</v>
      </c>
      <c r="F15" s="598">
        <v>54536.16</v>
      </c>
      <c r="G15" s="598">
        <v>60501.2</v>
      </c>
      <c r="H15" s="641">
        <v>67150</v>
      </c>
      <c r="I15" s="641">
        <v>31217.57</v>
      </c>
      <c r="J15" s="641">
        <f>70282-3100</f>
        <v>67182</v>
      </c>
      <c r="K15" s="608">
        <f>K10*P15</f>
        <v>76139.94258373206</v>
      </c>
      <c r="L15" s="600">
        <f>J15/G15*100</f>
        <v>111.04242560478139</v>
      </c>
      <c r="M15" s="600">
        <f>K15/J15*100</f>
        <v>113.33384326714307</v>
      </c>
      <c r="O15" s="760">
        <v>1.7919978660976261</v>
      </c>
      <c r="P15" s="760">
        <v>1.7856459330143541</v>
      </c>
    </row>
    <row r="16" spans="1:16" ht="18.75">
      <c r="A16" s="437"/>
      <c r="B16" s="597" t="s">
        <v>120</v>
      </c>
      <c r="C16" s="437" t="s">
        <v>1038</v>
      </c>
      <c r="D16" s="639">
        <f>76024.68-D15-D17</f>
        <v>25999.289999999994</v>
      </c>
      <c r="E16" s="639">
        <f>85607.88-E15-E17</f>
        <v>29958.710000000003</v>
      </c>
      <c r="F16" s="639">
        <f>95501.83-F15-F17</f>
        <v>33986.24</v>
      </c>
      <c r="G16" s="639">
        <f>106074.38-G15-G17</f>
        <v>38376.58000000001</v>
      </c>
      <c r="H16" s="641">
        <v>43180</v>
      </c>
      <c r="I16" s="641">
        <v>21695.7</v>
      </c>
      <c r="J16" s="641">
        <v>43249</v>
      </c>
      <c r="K16" s="608">
        <f>K11*P16</f>
        <v>49370.94533029613</v>
      </c>
      <c r="L16" s="600">
        <f>J16/G16*100</f>
        <v>112.69633719315266</v>
      </c>
      <c r="M16" s="600">
        <f>K16/J16*100</f>
        <v>114.15511417673501</v>
      </c>
      <c r="O16" s="760">
        <v>2.819361147327249</v>
      </c>
      <c r="P16" s="760">
        <v>2.7830296127562644</v>
      </c>
    </row>
    <row r="17" spans="1:16" ht="18.75">
      <c r="A17" s="437"/>
      <c r="B17" s="597" t="s">
        <v>121</v>
      </c>
      <c r="C17" s="437" t="s">
        <v>1038</v>
      </c>
      <c r="D17" s="639">
        <v>6537.08</v>
      </c>
      <c r="E17" s="640">
        <v>6783.91</v>
      </c>
      <c r="F17" s="598">
        <v>6979.43</v>
      </c>
      <c r="G17" s="598">
        <v>7196.6</v>
      </c>
      <c r="H17" s="641">
        <v>7425</v>
      </c>
      <c r="I17" s="641">
        <v>3645.52</v>
      </c>
      <c r="J17" s="641">
        <f>7465-30</f>
        <v>7435</v>
      </c>
      <c r="K17" s="608">
        <f>K12*P17</f>
        <v>7713.982300884955</v>
      </c>
      <c r="L17" s="600">
        <f>J17/G17*100</f>
        <v>103.31267543006419</v>
      </c>
      <c r="M17" s="600">
        <f>K17/J17*100</f>
        <v>103.75228380477411</v>
      </c>
      <c r="O17" s="760">
        <v>1.7013729977116705</v>
      </c>
      <c r="P17" s="760">
        <v>1.6991150442477876</v>
      </c>
    </row>
    <row r="18" spans="1:16" s="526" customFormat="1" ht="33">
      <c r="A18" s="367">
        <v>2</v>
      </c>
      <c r="B18" s="589" t="s">
        <v>28</v>
      </c>
      <c r="C18" s="437" t="s">
        <v>1038</v>
      </c>
      <c r="D18" s="609">
        <f aca="true" t="shared" si="2" ref="D18:K18">SUM(D20:D22)</f>
        <v>76024.68</v>
      </c>
      <c r="E18" s="609">
        <f t="shared" si="2"/>
        <v>98759.22</v>
      </c>
      <c r="F18" s="609">
        <f t="shared" si="2"/>
        <v>117414.1</v>
      </c>
      <c r="G18" s="609">
        <f t="shared" si="2"/>
        <v>140092</v>
      </c>
      <c r="H18" s="609">
        <f t="shared" si="2"/>
        <v>161800</v>
      </c>
      <c r="I18" s="609">
        <f t="shared" si="2"/>
        <v>79737</v>
      </c>
      <c r="J18" s="609">
        <f t="shared" si="2"/>
        <v>162150</v>
      </c>
      <c r="K18" s="590">
        <f t="shared" si="2"/>
        <v>192819.8670339877</v>
      </c>
      <c r="L18" s="591">
        <f>J18/G18*100</f>
        <v>115.74536733004027</v>
      </c>
      <c r="M18" s="591">
        <f>K18/J18*100</f>
        <v>118.91450325870349</v>
      </c>
      <c r="O18" s="761"/>
      <c r="P18" s="761"/>
    </row>
    <row r="19" spans="1:16" s="526" customFormat="1" ht="18.75">
      <c r="A19" s="367"/>
      <c r="B19" s="592" t="s">
        <v>1049</v>
      </c>
      <c r="C19" s="593"/>
      <c r="D19" s="610"/>
      <c r="E19" s="610"/>
      <c r="F19" s="611"/>
      <c r="G19" s="611"/>
      <c r="H19" s="611"/>
      <c r="I19" s="611"/>
      <c r="J19" s="611"/>
      <c r="K19" s="612"/>
      <c r="L19" s="612"/>
      <c r="M19" s="612"/>
      <c r="O19" s="761"/>
      <c r="P19" s="761"/>
    </row>
    <row r="20" spans="1:16" ht="18.75">
      <c r="A20" s="437"/>
      <c r="B20" s="597" t="s">
        <v>119</v>
      </c>
      <c r="C20" s="437" t="s">
        <v>1038</v>
      </c>
      <c r="D20" s="639">
        <v>43488.31</v>
      </c>
      <c r="E20" s="639">
        <v>56589.76</v>
      </c>
      <c r="F20" s="642">
        <v>66926.03</v>
      </c>
      <c r="G20" s="641">
        <v>79710.9</v>
      </c>
      <c r="H20" s="641">
        <v>91950</v>
      </c>
      <c r="I20" s="641">
        <v>45430</v>
      </c>
      <c r="J20" s="641">
        <v>92319</v>
      </c>
      <c r="K20" s="613">
        <f>K10*P20</f>
        <v>109572.55885167475</v>
      </c>
      <c r="L20" s="600">
        <f>J20/G20*100</f>
        <v>115.81728471263028</v>
      </c>
      <c r="M20" s="600">
        <f>K20/J20*100</f>
        <v>118.68906601206118</v>
      </c>
      <c r="O20" s="760">
        <v>2.462496665777541</v>
      </c>
      <c r="P20" s="760">
        <f>2.53971291866029+0.03</f>
        <v>2.5697129186602896</v>
      </c>
    </row>
    <row r="21" spans="1:16" ht="18.75">
      <c r="A21" s="437"/>
      <c r="B21" s="597" t="s">
        <v>120</v>
      </c>
      <c r="C21" s="437" t="s">
        <v>1038</v>
      </c>
      <c r="D21" s="639">
        <f>76024.68-D20-D22</f>
        <v>25999.289999999994</v>
      </c>
      <c r="E21" s="639">
        <f>98759.22-E20-E22</f>
        <v>34760.119999999995</v>
      </c>
      <c r="F21" s="639">
        <f>117414.1-F20-F22</f>
        <v>42503.920000000006</v>
      </c>
      <c r="G21" s="641">
        <v>51559.9</v>
      </c>
      <c r="H21" s="641">
        <v>60500</v>
      </c>
      <c r="I21" s="641">
        <v>29533</v>
      </c>
      <c r="J21" s="641">
        <v>60173</v>
      </c>
      <c r="K21" s="613">
        <f>K11*P21</f>
        <v>72489.115261959</v>
      </c>
      <c r="L21" s="600">
        <f>J21/G21*100</f>
        <v>116.70503627819294</v>
      </c>
      <c r="M21" s="600">
        <f>K21/J21*100</f>
        <v>120.46784315549996</v>
      </c>
      <c r="O21" s="760">
        <v>3.922620599739244</v>
      </c>
      <c r="P21" s="760">
        <f>4.02619589977221+0.06</f>
        <v>4.08619589977221</v>
      </c>
    </row>
    <row r="22" spans="1:16" ht="18.75">
      <c r="A22" s="437"/>
      <c r="B22" s="597" t="s">
        <v>121</v>
      </c>
      <c r="C22" s="437" t="s">
        <v>1038</v>
      </c>
      <c r="D22" s="639">
        <v>6537.08</v>
      </c>
      <c r="E22" s="639">
        <v>7409.34</v>
      </c>
      <c r="F22" s="642">
        <v>7984.15</v>
      </c>
      <c r="G22" s="641">
        <v>8821.2</v>
      </c>
      <c r="H22" s="641">
        <v>9350</v>
      </c>
      <c r="I22" s="641">
        <f>4784-10</f>
        <v>4774</v>
      </c>
      <c r="J22" s="641">
        <f>I22*2+110</f>
        <v>9658</v>
      </c>
      <c r="K22" s="613">
        <f>K12*P22</f>
        <v>10758.19292035396</v>
      </c>
      <c r="L22" s="600">
        <f>J22/G22*100</f>
        <v>109.48623770008614</v>
      </c>
      <c r="M22" s="600">
        <f>K22/J22*100</f>
        <v>111.39151915876953</v>
      </c>
      <c r="O22" s="760">
        <v>2.2100686498855837</v>
      </c>
      <c r="P22" s="760">
        <f>2.32964601769911+0.04</f>
        <v>2.36964601769911</v>
      </c>
    </row>
    <row r="23" spans="1:15" s="526" customFormat="1" ht="18.75">
      <c r="A23" s="367">
        <v>3</v>
      </c>
      <c r="B23" s="614" t="s">
        <v>196</v>
      </c>
      <c r="C23" s="437" t="s">
        <v>154</v>
      </c>
      <c r="D23" s="437"/>
      <c r="E23" s="437"/>
      <c r="F23" s="615">
        <f>F18/'3. XH'!D9*1000</f>
        <v>42.40809312190105</v>
      </c>
      <c r="G23" s="615">
        <f>G18/'3. XH'!D9*1000</f>
        <v>50.59898752903919</v>
      </c>
      <c r="H23" s="615">
        <f>H18/'3. XH'!E9*1000</f>
        <v>57.32289333938448</v>
      </c>
      <c r="I23" s="616" t="s">
        <v>442</v>
      </c>
      <c r="J23" s="615">
        <f>J18/'3. XH'!G9*1000</f>
        <v>57.446892181589575</v>
      </c>
      <c r="K23" s="615">
        <f>K18/'3. XH'!H9*1000</f>
        <v>66.261122692092</v>
      </c>
      <c r="L23" s="600">
        <f>J23/G23*100</f>
        <v>113.53367920379891</v>
      </c>
      <c r="M23" s="600">
        <f>K23/J23*100</f>
        <v>115.34326780052896</v>
      </c>
      <c r="O23" s="757">
        <f>K23/21.5*1000</f>
        <v>3081.9126833531163</v>
      </c>
    </row>
    <row r="24" spans="1:13" s="526" customFormat="1" ht="33">
      <c r="A24" s="367">
        <v>4</v>
      </c>
      <c r="B24" s="589" t="s">
        <v>443</v>
      </c>
      <c r="C24" s="437"/>
      <c r="D24" s="617">
        <f>SUM(D25:D27)</f>
        <v>100</v>
      </c>
      <c r="E24" s="617">
        <f>SUM(E25:E27)</f>
        <v>100</v>
      </c>
      <c r="F24" s="617">
        <f>SUM(F25:F27)</f>
        <v>100</v>
      </c>
      <c r="G24" s="617"/>
      <c r="H24" s="617">
        <f>SUM(H25:H27)</f>
        <v>100</v>
      </c>
      <c r="I24" s="616" t="s">
        <v>442</v>
      </c>
      <c r="J24" s="617">
        <f>SUM(J25:J27)</f>
        <v>100</v>
      </c>
      <c r="K24" s="617">
        <f>SUM(K25:K27)</f>
        <v>100.00000000000001</v>
      </c>
      <c r="L24" s="612"/>
      <c r="M24" s="612"/>
    </row>
    <row r="25" spans="1:13" ht="18.75">
      <c r="A25" s="437"/>
      <c r="B25" s="597" t="s">
        <v>119</v>
      </c>
      <c r="C25" s="437" t="s">
        <v>1040</v>
      </c>
      <c r="D25" s="618">
        <f aca="true" t="shared" si="3" ref="D25:H27">D20/D$18*100</f>
        <v>57.20288464219777</v>
      </c>
      <c r="E25" s="618">
        <f t="shared" si="3"/>
        <v>57.300736073047155</v>
      </c>
      <c r="F25" s="618">
        <f t="shared" si="3"/>
        <v>56.99999403819472</v>
      </c>
      <c r="G25" s="618">
        <f t="shared" si="3"/>
        <v>56.89896639351283</v>
      </c>
      <c r="H25" s="618">
        <f t="shared" si="3"/>
        <v>56.829419035846726</v>
      </c>
      <c r="I25" s="619" t="s">
        <v>442</v>
      </c>
      <c r="J25" s="618">
        <f aca="true" t="shared" si="4" ref="J25:K27">J20/J$18*100</f>
        <v>56.93432007400555</v>
      </c>
      <c r="K25" s="618">
        <f t="shared" si="4"/>
        <v>56.82638440589775</v>
      </c>
      <c r="L25" s="620"/>
      <c r="M25" s="620"/>
    </row>
    <row r="26" spans="1:13" ht="18.75">
      <c r="A26" s="437"/>
      <c r="B26" s="597" t="s">
        <v>120</v>
      </c>
      <c r="C26" s="437" t="s">
        <v>1040</v>
      </c>
      <c r="D26" s="618">
        <f t="shared" si="3"/>
        <v>34.198486596720954</v>
      </c>
      <c r="E26" s="618">
        <f t="shared" si="3"/>
        <v>35.19683529294783</v>
      </c>
      <c r="F26" s="618">
        <f t="shared" si="3"/>
        <v>36.20001345664618</v>
      </c>
      <c r="G26" s="618">
        <f t="shared" si="3"/>
        <v>36.804314307740626</v>
      </c>
      <c r="H26" s="618">
        <f t="shared" si="3"/>
        <v>37.39184177997528</v>
      </c>
      <c r="I26" s="619" t="s">
        <v>442</v>
      </c>
      <c r="J26" s="618">
        <f t="shared" si="4"/>
        <v>37.10946654332408</v>
      </c>
      <c r="K26" s="618">
        <f t="shared" si="4"/>
        <v>37.5942149411303</v>
      </c>
      <c r="L26" s="620"/>
      <c r="M26" s="620"/>
    </row>
    <row r="27" spans="1:13" ht="18.75">
      <c r="A27" s="437"/>
      <c r="B27" s="597" t="s">
        <v>121</v>
      </c>
      <c r="C27" s="437" t="s">
        <v>1040</v>
      </c>
      <c r="D27" s="618">
        <f t="shared" si="3"/>
        <v>8.59862876108127</v>
      </c>
      <c r="E27" s="618">
        <f t="shared" si="3"/>
        <v>7.502428634005007</v>
      </c>
      <c r="F27" s="618">
        <f t="shared" si="3"/>
        <v>6.79999250515909</v>
      </c>
      <c r="G27" s="618">
        <f t="shared" si="3"/>
        <v>6.296719298746538</v>
      </c>
      <c r="H27" s="618">
        <f t="shared" si="3"/>
        <v>5.778739184177997</v>
      </c>
      <c r="I27" s="619" t="s">
        <v>442</v>
      </c>
      <c r="J27" s="618">
        <f t="shared" si="4"/>
        <v>5.9562133826703665</v>
      </c>
      <c r="K27" s="618">
        <f t="shared" si="4"/>
        <v>5.579400652971952</v>
      </c>
      <c r="L27" s="620"/>
      <c r="M27" s="620"/>
    </row>
    <row r="28" spans="1:13" s="526" customFormat="1" ht="33">
      <c r="A28" s="367">
        <v>5</v>
      </c>
      <c r="B28" s="589" t="s">
        <v>444</v>
      </c>
      <c r="C28" s="437"/>
      <c r="D28" s="437"/>
      <c r="E28" s="437"/>
      <c r="F28" s="621">
        <f>SUM(F29:F32)</f>
        <v>100</v>
      </c>
      <c r="G28" s="621"/>
      <c r="H28" s="621">
        <f>SUM(H29:H32)</f>
        <v>100</v>
      </c>
      <c r="I28" s="621">
        <f>SUM(I29:I32)</f>
        <v>0</v>
      </c>
      <c r="J28" s="621">
        <f>SUM(J29:J32)</f>
        <v>100</v>
      </c>
      <c r="K28" s="621">
        <f>SUM(K29:K32)</f>
        <v>100</v>
      </c>
      <c r="L28" s="612"/>
      <c r="M28" s="612"/>
    </row>
    <row r="29" spans="1:13" ht="18.75">
      <c r="A29" s="437"/>
      <c r="B29" s="597" t="s">
        <v>1044</v>
      </c>
      <c r="C29" s="437" t="s">
        <v>1040</v>
      </c>
      <c r="D29" s="437"/>
      <c r="E29" s="437"/>
      <c r="F29" s="622">
        <v>9</v>
      </c>
      <c r="G29" s="476">
        <v>8.5</v>
      </c>
      <c r="H29" s="476">
        <v>8.5</v>
      </c>
      <c r="I29" s="476"/>
      <c r="J29" s="476">
        <v>8.4</v>
      </c>
      <c r="K29" s="622">
        <v>8.5</v>
      </c>
      <c r="L29" s="620"/>
      <c r="M29" s="620"/>
    </row>
    <row r="30" spans="1:13" ht="18.75">
      <c r="A30" s="437"/>
      <c r="B30" s="597" t="s">
        <v>1045</v>
      </c>
      <c r="C30" s="437" t="s">
        <v>1040</v>
      </c>
      <c r="D30" s="437"/>
      <c r="E30" s="437"/>
      <c r="F30" s="622">
        <v>7.4</v>
      </c>
      <c r="G30" s="476">
        <v>7.1</v>
      </c>
      <c r="H30" s="476">
        <v>7</v>
      </c>
      <c r="I30" s="476"/>
      <c r="J30" s="476">
        <v>7.05</v>
      </c>
      <c r="K30" s="622">
        <v>7</v>
      </c>
      <c r="L30" s="620"/>
      <c r="M30" s="620"/>
    </row>
    <row r="31" spans="1:13" ht="18.75">
      <c r="A31" s="437"/>
      <c r="B31" s="597" t="s">
        <v>1046</v>
      </c>
      <c r="C31" s="437" t="s">
        <v>1040</v>
      </c>
      <c r="D31" s="437"/>
      <c r="E31" s="437"/>
      <c r="F31" s="622">
        <v>38.3</v>
      </c>
      <c r="G31" s="476">
        <v>38.4</v>
      </c>
      <c r="H31" s="476">
        <v>38.8</v>
      </c>
      <c r="I31" s="476"/>
      <c r="J31" s="476">
        <v>38.72</v>
      </c>
      <c r="K31" s="622">
        <v>38.8</v>
      </c>
      <c r="L31" s="620"/>
      <c r="M31" s="620"/>
    </row>
    <row r="32" spans="1:13" ht="18.75">
      <c r="A32" s="437"/>
      <c r="B32" s="597" t="s">
        <v>189</v>
      </c>
      <c r="C32" s="437" t="s">
        <v>1040</v>
      </c>
      <c r="D32" s="437"/>
      <c r="E32" s="437"/>
      <c r="F32" s="622">
        <v>45.3</v>
      </c>
      <c r="G32" s="476">
        <v>46</v>
      </c>
      <c r="H32" s="476">
        <v>45.7</v>
      </c>
      <c r="I32" s="476"/>
      <c r="J32" s="476">
        <v>45.83</v>
      </c>
      <c r="K32" s="622">
        <v>45.7</v>
      </c>
      <c r="L32" s="620"/>
      <c r="M32" s="620"/>
    </row>
    <row r="33" spans="1:13" ht="18.75">
      <c r="A33" s="367">
        <v>6</v>
      </c>
      <c r="B33" s="589" t="s">
        <v>1008</v>
      </c>
      <c r="C33" s="437" t="s">
        <v>1038</v>
      </c>
      <c r="D33" s="437"/>
      <c r="E33" s="437"/>
      <c r="F33" s="622"/>
      <c r="G33" s="622"/>
      <c r="H33" s="622"/>
      <c r="I33" s="622"/>
      <c r="J33" s="622"/>
      <c r="K33" s="622"/>
      <c r="L33" s="620"/>
      <c r="M33" s="620"/>
    </row>
    <row r="34" spans="1:13" ht="18.75">
      <c r="A34" s="437"/>
      <c r="B34" s="597" t="s">
        <v>117</v>
      </c>
      <c r="C34" s="437" t="s">
        <v>1038</v>
      </c>
      <c r="D34" s="623">
        <f>'2. CN NN DV'!D9</f>
        <v>21519.634</v>
      </c>
      <c r="E34" s="623">
        <f>'2. CN NN DV'!E9</f>
        <v>30330.751</v>
      </c>
      <c r="F34" s="623">
        <f>'2. CN NN DV'!F9</f>
        <v>31212.796</v>
      </c>
      <c r="G34" s="623">
        <f>'2. CN NN DV'!G9</f>
        <v>32245.617</v>
      </c>
      <c r="H34" s="623">
        <f>'2. CN NN DV'!H9</f>
        <v>34500</v>
      </c>
      <c r="I34" s="623">
        <f>'2. CN NN DV'!I9</f>
        <v>16560</v>
      </c>
      <c r="J34" s="623">
        <f>'2. CN NN DV'!J9</f>
        <v>34560</v>
      </c>
      <c r="K34" s="623">
        <f>'2. CN NN DV'!K9</f>
        <v>37150</v>
      </c>
      <c r="L34" s="600">
        <f>J34/G34*100</f>
        <v>107.17735684821909</v>
      </c>
      <c r="M34" s="600">
        <f>K34/J34*100</f>
        <v>107.49421296296295</v>
      </c>
    </row>
    <row r="35" spans="1:13" ht="18.75">
      <c r="A35" s="437"/>
      <c r="B35" s="597" t="s">
        <v>118</v>
      </c>
      <c r="C35" s="437" t="s">
        <v>1038</v>
      </c>
      <c r="D35" s="624">
        <f>'2. CN NN DV'!D67+'2. CN NN DV'!D113</f>
        <v>335448.856</v>
      </c>
      <c r="E35" s="624">
        <f>'2. CN NN DV'!E67+'2. CN NN DV'!E113</f>
        <v>455346.232</v>
      </c>
      <c r="F35" s="624">
        <f>'2. CN NN DV'!F67+'2. CN NN DV'!F113</f>
        <v>535666.201</v>
      </c>
      <c r="G35" s="624">
        <f>'2. CN NN DV'!G67+'2. CN NN DV'!G113</f>
        <v>622676.845</v>
      </c>
      <c r="H35" s="624">
        <f>'2. CN NN DV'!H67+'2. CN NN DV'!H113</f>
        <v>716700</v>
      </c>
      <c r="I35" s="624">
        <f>'2. CN NN DV'!I67+'2. CN NN DV'!I113</f>
        <v>9801.3</v>
      </c>
      <c r="J35" s="624">
        <f>'2. CN NN DV'!J67+'2. CN NN DV'!J113</f>
        <v>729500</v>
      </c>
      <c r="K35" s="624">
        <f>'2. CN NN DV'!K67+'2. CN NN DV'!K113</f>
        <v>861700</v>
      </c>
      <c r="L35" s="600">
        <f>J35/G35*100</f>
        <v>117.15547251480021</v>
      </c>
      <c r="M35" s="600">
        <f>K35/J35*100</f>
        <v>118.12200137080191</v>
      </c>
    </row>
    <row r="36" spans="1:13" ht="18.75">
      <c r="A36" s="437"/>
      <c r="B36" s="597" t="s">
        <v>1043</v>
      </c>
      <c r="C36" s="437" t="s">
        <v>1038</v>
      </c>
      <c r="D36" s="437"/>
      <c r="E36" s="437"/>
      <c r="F36" s="622"/>
      <c r="G36" s="622">
        <f>G21</f>
        <v>51559.9</v>
      </c>
      <c r="H36" s="622">
        <f>H21</f>
        <v>60500</v>
      </c>
      <c r="I36" s="622">
        <f>I21</f>
        <v>29533</v>
      </c>
      <c r="J36" s="622">
        <f>J21</f>
        <v>60173</v>
      </c>
      <c r="K36" s="622">
        <f>K21</f>
        <v>72489.115261959</v>
      </c>
      <c r="L36" s="600">
        <f>J36/G36*100</f>
        <v>116.70503627819294</v>
      </c>
      <c r="M36" s="600">
        <f>K36/J36*100</f>
        <v>120.46784315549996</v>
      </c>
    </row>
    <row r="37" spans="1:13" ht="18.75">
      <c r="A37" s="437"/>
      <c r="B37" s="589" t="s">
        <v>445</v>
      </c>
      <c r="C37" s="437" t="s">
        <v>1038</v>
      </c>
      <c r="D37" s="437"/>
      <c r="E37" s="437"/>
      <c r="F37" s="622"/>
      <c r="G37" s="622"/>
      <c r="H37" s="622"/>
      <c r="I37" s="622"/>
      <c r="J37" s="622"/>
      <c r="K37" s="622"/>
      <c r="L37" s="620"/>
      <c r="M37" s="620"/>
    </row>
    <row r="38" spans="1:13" ht="18.75">
      <c r="A38" s="437"/>
      <c r="B38" s="597" t="s">
        <v>117</v>
      </c>
      <c r="C38" s="437" t="s">
        <v>1038</v>
      </c>
      <c r="D38" s="623">
        <f>'2. CN NN DV'!D10</f>
        <v>7792</v>
      </c>
      <c r="E38" s="623">
        <f>'2. CN NN DV'!E10</f>
        <v>8103</v>
      </c>
      <c r="F38" s="623">
        <f>'2. CN NN DV'!F10</f>
        <v>8524.5</v>
      </c>
      <c r="G38" s="623">
        <f>'2. CN NN DV'!G10</f>
        <v>8867.6</v>
      </c>
      <c r="H38" s="623">
        <f>'2. CN NN DV'!H10</f>
        <v>9260</v>
      </c>
      <c r="I38" s="623">
        <f>'2. CN NN DV'!I10</f>
        <v>4300</v>
      </c>
      <c r="J38" s="623">
        <f>'2. CN NN DV'!J10</f>
        <v>9260</v>
      </c>
      <c r="K38" s="623">
        <f>'2. CN NN DV'!K10</f>
        <v>9680</v>
      </c>
      <c r="L38" s="600">
        <f>J38/G38*100</f>
        <v>104.42509810997338</v>
      </c>
      <c r="M38" s="600">
        <f>K38/J38*100</f>
        <v>104.53563714902808</v>
      </c>
    </row>
    <row r="39" spans="1:13" ht="18.75">
      <c r="A39" s="437"/>
      <c r="B39" s="597" t="s">
        <v>118</v>
      </c>
      <c r="C39" s="437" t="s">
        <v>1038</v>
      </c>
      <c r="D39" s="624">
        <f>'2. CN NN DV'!D68+'2. CN NN DV'!D114</f>
        <v>108573</v>
      </c>
      <c r="E39" s="624">
        <f>'2. CN NN DV'!E68+'2. CN NN DV'!E114</f>
        <v>127209</v>
      </c>
      <c r="F39" s="624">
        <f>'2. CN NN DV'!F68+'2. CN NN DV'!F114</f>
        <v>148990</v>
      </c>
      <c r="G39" s="624">
        <f>'2. CN NN DV'!G68+'2. CN NN DV'!G114</f>
        <v>169854</v>
      </c>
      <c r="H39" s="624">
        <f>'2. CN NN DV'!H68+'2. CN NN DV'!H114</f>
        <v>192770</v>
      </c>
      <c r="I39" s="624">
        <f>'2. CN NN DV'!I68+'2. CN NN DV'!I114</f>
        <v>6120.400000000001</v>
      </c>
      <c r="J39" s="624">
        <f>'2. CN NN DV'!J68+'2. CN NN DV'!J114</f>
        <v>194250</v>
      </c>
      <c r="K39" s="624">
        <f>'2. CN NN DV'!K68+'2. CN NN DV'!K114</f>
        <v>222330</v>
      </c>
      <c r="L39" s="600">
        <f>J39/G39*100</f>
        <v>114.36292345190576</v>
      </c>
      <c r="M39" s="600">
        <f>K39/J39*100</f>
        <v>114.45559845559845</v>
      </c>
    </row>
    <row r="40" spans="1:13" ht="18.75">
      <c r="A40" s="437"/>
      <c r="B40" s="597" t="s">
        <v>1043</v>
      </c>
      <c r="C40" s="437" t="s">
        <v>1038</v>
      </c>
      <c r="D40" s="437"/>
      <c r="E40" s="437"/>
      <c r="F40" s="625">
        <f>F11</f>
        <v>11776.97</v>
      </c>
      <c r="G40" s="625">
        <f>G11</f>
        <v>13433.4</v>
      </c>
      <c r="H40" s="625">
        <v>13533.2</v>
      </c>
      <c r="I40" s="626">
        <f>I11</f>
        <v>7367.2</v>
      </c>
      <c r="J40" s="625">
        <f>J11</f>
        <v>15340</v>
      </c>
      <c r="K40" s="625">
        <f>K11</f>
        <v>17740</v>
      </c>
      <c r="L40" s="600">
        <f>J40/G40*100</f>
        <v>114.19298167254755</v>
      </c>
      <c r="M40" s="600">
        <f>K40/J40*100</f>
        <v>115.64537157757498</v>
      </c>
    </row>
    <row r="41" spans="1:13" s="526" customFormat="1" ht="18.75">
      <c r="A41" s="367"/>
      <c r="B41" s="589" t="s">
        <v>446</v>
      </c>
      <c r="C41" s="437" t="s">
        <v>1038</v>
      </c>
      <c r="D41" s="437"/>
      <c r="E41" s="437"/>
      <c r="F41" s="622"/>
      <c r="G41" s="622"/>
      <c r="H41" s="622"/>
      <c r="I41" s="612"/>
      <c r="J41" s="627"/>
      <c r="K41" s="627"/>
      <c r="L41" s="600"/>
      <c r="M41" s="600"/>
    </row>
    <row r="42" spans="1:13" ht="18.75">
      <c r="A42" s="437"/>
      <c r="B42" s="597" t="s">
        <v>117</v>
      </c>
      <c r="C42" s="437" t="s">
        <v>1038</v>
      </c>
      <c r="D42" s="437"/>
      <c r="E42" s="437"/>
      <c r="F42" s="608">
        <v>14610</v>
      </c>
      <c r="G42" s="608">
        <f>'2. CN NN DV'!G11</f>
        <v>26323</v>
      </c>
      <c r="H42" s="608">
        <f>'2. CN NN DV'!H11</f>
        <v>27204</v>
      </c>
      <c r="I42" s="608">
        <f>'2. CN NN DV'!I11</f>
        <v>12581</v>
      </c>
      <c r="J42" s="608">
        <f>'2. CN NN DV'!J11</f>
        <v>27279</v>
      </c>
      <c r="K42" s="608">
        <f>'2. CN NN DV'!K11</f>
        <v>28306.591000000004</v>
      </c>
      <c r="L42" s="600">
        <f aca="true" t="shared" si="5" ref="L42:L50">J42/G42*100</f>
        <v>103.63180488546138</v>
      </c>
      <c r="M42" s="600">
        <f aca="true" t="shared" si="6" ref="M42:M50">K42/J42*100</f>
        <v>103.76696726419593</v>
      </c>
    </row>
    <row r="43" spans="1:13" ht="18.75">
      <c r="A43" s="437"/>
      <c r="B43" s="597" t="s">
        <v>118</v>
      </c>
      <c r="C43" s="437" t="s">
        <v>1038</v>
      </c>
      <c r="D43" s="437"/>
      <c r="E43" s="437"/>
      <c r="F43" s="608">
        <v>271550</v>
      </c>
      <c r="G43" s="608">
        <f>'2. CN NN DV'!G69+'2. CN NN DV'!G115</f>
        <v>473012.73</v>
      </c>
      <c r="H43" s="608">
        <f>'2. CN NN DV'!H69+'2. CN NN DV'!H115</f>
        <v>586200</v>
      </c>
      <c r="I43" s="608">
        <f>'2. CN NN DV'!I69+'2. CN NN DV'!I115</f>
        <v>7432.403389940699</v>
      </c>
      <c r="J43" s="608">
        <f>'2. CN NN DV'!J69+'2. CN NN DV'!J115</f>
        <v>537324.144</v>
      </c>
      <c r="K43" s="608">
        <f>'2. CN NN DV'!K69+'2. CN NN DV'!K115</f>
        <v>610900</v>
      </c>
      <c r="L43" s="600">
        <f t="shared" si="5"/>
        <v>113.59612752916819</v>
      </c>
      <c r="M43" s="600">
        <f t="shared" si="6"/>
        <v>113.69301134549428</v>
      </c>
    </row>
    <row r="44" spans="1:13" ht="18.75">
      <c r="A44" s="437"/>
      <c r="B44" s="597" t="s">
        <v>1043</v>
      </c>
      <c r="C44" s="437" t="s">
        <v>1038</v>
      </c>
      <c r="D44" s="437"/>
      <c r="E44" s="437"/>
      <c r="F44" s="625">
        <f aca="true" t="shared" si="7" ref="F44:K44">F16</f>
        <v>33986.24</v>
      </c>
      <c r="G44" s="625">
        <f t="shared" si="7"/>
        <v>38376.58000000001</v>
      </c>
      <c r="H44" s="625">
        <f t="shared" si="7"/>
        <v>43180</v>
      </c>
      <c r="I44" s="625">
        <f t="shared" si="7"/>
        <v>21695.7</v>
      </c>
      <c r="J44" s="625">
        <f t="shared" si="7"/>
        <v>43249</v>
      </c>
      <c r="K44" s="625">
        <f t="shared" si="7"/>
        <v>49370.94533029613</v>
      </c>
      <c r="L44" s="600">
        <f t="shared" si="5"/>
        <v>112.69633719315266</v>
      </c>
      <c r="M44" s="600">
        <f t="shared" si="6"/>
        <v>114.15511417673501</v>
      </c>
    </row>
    <row r="45" spans="1:13" s="526" customFormat="1" ht="33">
      <c r="A45" s="367">
        <v>7</v>
      </c>
      <c r="B45" s="589" t="s">
        <v>195</v>
      </c>
      <c r="C45" s="437" t="s">
        <v>1038</v>
      </c>
      <c r="D45" s="437"/>
      <c r="E45" s="437"/>
      <c r="F45" s="138">
        <v>86955</v>
      </c>
      <c r="G45" s="505">
        <v>98477.61</v>
      </c>
      <c r="H45" s="505">
        <v>112400</v>
      </c>
      <c r="I45" s="505">
        <v>53600.54</v>
      </c>
      <c r="J45" s="505">
        <v>111641.93</v>
      </c>
      <c r="K45" s="609">
        <v>117000</v>
      </c>
      <c r="L45" s="600">
        <f t="shared" si="5"/>
        <v>113.36783051497694</v>
      </c>
      <c r="M45" s="600">
        <f t="shared" si="6"/>
        <v>104.79933480189747</v>
      </c>
    </row>
    <row r="46" spans="1:13" s="526" customFormat="1" ht="33">
      <c r="A46" s="367">
        <v>8</v>
      </c>
      <c r="B46" s="589" t="s">
        <v>1118</v>
      </c>
      <c r="C46" s="437" t="s">
        <v>1051</v>
      </c>
      <c r="D46" s="437"/>
      <c r="E46" s="437"/>
      <c r="F46" s="137">
        <v>10489</v>
      </c>
      <c r="G46" s="505">
        <v>10915</v>
      </c>
      <c r="H46" s="505">
        <v>11860</v>
      </c>
      <c r="I46" s="505">
        <v>5825</v>
      </c>
      <c r="J46" s="505">
        <v>12432</v>
      </c>
      <c r="K46" s="611">
        <v>12324</v>
      </c>
      <c r="L46" s="600">
        <f t="shared" si="5"/>
        <v>113.89830508474577</v>
      </c>
      <c r="M46" s="600">
        <f t="shared" si="6"/>
        <v>99.13127413127413</v>
      </c>
    </row>
    <row r="47" spans="1:13" ht="33">
      <c r="A47" s="437"/>
      <c r="B47" s="592" t="s">
        <v>107</v>
      </c>
      <c r="C47" s="593" t="s">
        <v>1051</v>
      </c>
      <c r="D47" s="593"/>
      <c r="E47" s="593"/>
      <c r="F47" s="135">
        <v>1191.3</v>
      </c>
      <c r="G47" s="135">
        <v>1120</v>
      </c>
      <c r="H47" s="135">
        <v>1350</v>
      </c>
      <c r="I47" s="643">
        <v>559.5</v>
      </c>
      <c r="J47" s="613">
        <v>1227</v>
      </c>
      <c r="K47" s="628">
        <v>1266</v>
      </c>
      <c r="L47" s="600">
        <f t="shared" si="5"/>
        <v>109.55357142857143</v>
      </c>
      <c r="M47" s="600">
        <f t="shared" si="6"/>
        <v>103.17848410757946</v>
      </c>
    </row>
    <row r="48" spans="1:13" s="526" customFormat="1" ht="33">
      <c r="A48" s="367">
        <v>9</v>
      </c>
      <c r="B48" s="589" t="s">
        <v>1119</v>
      </c>
      <c r="C48" s="437" t="s">
        <v>1051</v>
      </c>
      <c r="D48" s="437"/>
      <c r="E48" s="437"/>
      <c r="F48" s="137">
        <v>10466</v>
      </c>
      <c r="G48" s="505">
        <v>11052</v>
      </c>
      <c r="H48" s="505">
        <v>12130</v>
      </c>
      <c r="I48" s="505">
        <v>5753</v>
      </c>
      <c r="J48" s="505">
        <v>11991</v>
      </c>
      <c r="K48" s="609">
        <v>12500</v>
      </c>
      <c r="L48" s="600">
        <f t="shared" si="5"/>
        <v>108.49619978284473</v>
      </c>
      <c r="M48" s="600">
        <f t="shared" si="6"/>
        <v>104.24485030439496</v>
      </c>
    </row>
    <row r="49" spans="1:13" ht="33">
      <c r="A49" s="437"/>
      <c r="B49" s="592" t="s">
        <v>108</v>
      </c>
      <c r="C49" s="593" t="s">
        <v>1051</v>
      </c>
      <c r="D49" s="593"/>
      <c r="E49" s="593"/>
      <c r="F49" s="136">
        <v>961</v>
      </c>
      <c r="G49" s="136">
        <v>980</v>
      </c>
      <c r="H49" s="136">
        <v>1050</v>
      </c>
      <c r="I49" s="135">
        <v>547.9</v>
      </c>
      <c r="J49" s="613">
        <v>1009</v>
      </c>
      <c r="K49" s="613">
        <v>1085</v>
      </c>
      <c r="L49" s="600">
        <f t="shared" si="5"/>
        <v>102.9591836734694</v>
      </c>
      <c r="M49" s="600">
        <f t="shared" si="6"/>
        <v>107.53221010901883</v>
      </c>
    </row>
    <row r="50" spans="1:13" s="526" customFormat="1" ht="18.75">
      <c r="A50" s="367">
        <v>10</v>
      </c>
      <c r="B50" s="589" t="s">
        <v>1092</v>
      </c>
      <c r="C50" s="437" t="s">
        <v>1038</v>
      </c>
      <c r="D50" s="437"/>
      <c r="E50" s="437"/>
      <c r="F50" s="591">
        <v>28242</v>
      </c>
      <c r="G50" s="644">
        <v>31511</v>
      </c>
      <c r="H50" s="644">
        <v>33870</v>
      </c>
      <c r="I50" s="644">
        <v>16603</v>
      </c>
      <c r="J50" s="644">
        <v>32451</v>
      </c>
      <c r="K50" s="591">
        <v>35056</v>
      </c>
      <c r="L50" s="591">
        <f t="shared" si="5"/>
        <v>102.98308527180984</v>
      </c>
      <c r="M50" s="591">
        <f t="shared" si="6"/>
        <v>108.02748759668424</v>
      </c>
    </row>
    <row r="51" spans="1:13" ht="18.75">
      <c r="A51" s="437"/>
      <c r="B51" s="592" t="s">
        <v>1049</v>
      </c>
      <c r="C51" s="437"/>
      <c r="D51" s="437"/>
      <c r="E51" s="437"/>
      <c r="F51" s="600"/>
      <c r="G51" s="600"/>
      <c r="H51" s="600"/>
      <c r="I51" s="600"/>
      <c r="J51" s="600"/>
      <c r="K51" s="600"/>
      <c r="L51" s="620"/>
      <c r="M51" s="620"/>
    </row>
    <row r="52" spans="1:13" ht="18.75">
      <c r="A52" s="437"/>
      <c r="B52" s="597" t="s">
        <v>1052</v>
      </c>
      <c r="C52" s="437" t="s">
        <v>1038</v>
      </c>
      <c r="D52" s="437"/>
      <c r="E52" s="437"/>
      <c r="F52" s="600"/>
      <c r="G52" s="645">
        <v>12013</v>
      </c>
      <c r="H52" s="645">
        <v>13470</v>
      </c>
      <c r="I52" s="645">
        <v>6000</v>
      </c>
      <c r="J52" s="645">
        <v>13100</v>
      </c>
      <c r="K52" s="600">
        <v>13750</v>
      </c>
      <c r="L52" s="600">
        <f>J52/G52*100</f>
        <v>109.04853075834512</v>
      </c>
      <c r="M52" s="600">
        <f>K52/J52*100</f>
        <v>104.9618320610687</v>
      </c>
    </row>
    <row r="53" spans="1:13" ht="18.75">
      <c r="A53" s="437"/>
      <c r="B53" s="597" t="s">
        <v>1053</v>
      </c>
      <c r="C53" s="437" t="s">
        <v>1038</v>
      </c>
      <c r="D53" s="437"/>
      <c r="E53" s="437"/>
      <c r="F53" s="600">
        <v>15926</v>
      </c>
      <c r="G53" s="645">
        <v>18588</v>
      </c>
      <c r="H53" s="645">
        <v>19600</v>
      </c>
      <c r="I53" s="645">
        <v>9953</v>
      </c>
      <c r="J53" s="645">
        <v>19600</v>
      </c>
      <c r="K53" s="600">
        <v>20506</v>
      </c>
      <c r="L53" s="600">
        <f>J53/G53*100</f>
        <v>105.44437271357864</v>
      </c>
      <c r="M53" s="600">
        <f>K53/J53*100</f>
        <v>104.62244897959184</v>
      </c>
    </row>
    <row r="54" spans="1:13" ht="18.75">
      <c r="A54" s="437"/>
      <c r="B54" s="592" t="s">
        <v>1050</v>
      </c>
      <c r="C54" s="437"/>
      <c r="D54" s="437"/>
      <c r="E54" s="437"/>
      <c r="F54" s="600"/>
      <c r="G54" s="600"/>
      <c r="H54" s="600"/>
      <c r="I54" s="600"/>
      <c r="J54" s="600"/>
      <c r="K54" s="600"/>
      <c r="L54" s="620"/>
      <c r="M54" s="620"/>
    </row>
    <row r="55" spans="1:13" ht="18.75">
      <c r="A55" s="437"/>
      <c r="B55" s="629" t="s">
        <v>1054</v>
      </c>
      <c r="C55" s="437" t="s">
        <v>1038</v>
      </c>
      <c r="D55" s="437"/>
      <c r="E55" s="437"/>
      <c r="F55" s="600">
        <v>1981.72</v>
      </c>
      <c r="G55" s="645">
        <v>2054</v>
      </c>
      <c r="H55" s="645">
        <v>2000</v>
      </c>
      <c r="I55" s="645">
        <v>968.655</v>
      </c>
      <c r="J55" s="645">
        <v>2000</v>
      </c>
      <c r="K55" s="600">
        <v>2160</v>
      </c>
      <c r="L55" s="600">
        <f>J55/G55*100</f>
        <v>97.37098344693281</v>
      </c>
      <c r="M55" s="600">
        <f>K55/J55*100</f>
        <v>108</v>
      </c>
    </row>
    <row r="56" spans="1:13" ht="18.75">
      <c r="A56" s="437"/>
      <c r="B56" s="629" t="s">
        <v>187</v>
      </c>
      <c r="C56" s="437" t="s">
        <v>1038</v>
      </c>
      <c r="D56" s="437"/>
      <c r="E56" s="437"/>
      <c r="F56" s="600">
        <v>2134.67</v>
      </c>
      <c r="G56" s="645">
        <v>2203</v>
      </c>
      <c r="H56" s="645">
        <v>2400</v>
      </c>
      <c r="I56" s="645">
        <v>1282.483</v>
      </c>
      <c r="J56" s="645">
        <v>2400</v>
      </c>
      <c r="K56" s="600">
        <v>2523</v>
      </c>
      <c r="L56" s="600">
        <f>J56/G56*100</f>
        <v>108.94235133908307</v>
      </c>
      <c r="M56" s="600">
        <f>K56/J56*100</f>
        <v>105.125</v>
      </c>
    </row>
    <row r="57" spans="1:13" ht="18.75">
      <c r="A57" s="437"/>
      <c r="B57" s="629" t="s">
        <v>1055</v>
      </c>
      <c r="C57" s="437" t="s">
        <v>1038</v>
      </c>
      <c r="D57" s="437"/>
      <c r="E57" s="437"/>
      <c r="F57" s="600">
        <v>2649.74</v>
      </c>
      <c r="G57" s="645">
        <v>26444</v>
      </c>
      <c r="H57" s="645">
        <v>3000</v>
      </c>
      <c r="I57" s="645">
        <v>1434.154</v>
      </c>
      <c r="J57" s="645">
        <v>3000</v>
      </c>
      <c r="K57" s="600">
        <v>2774</v>
      </c>
      <c r="L57" s="600">
        <f>J57/G57*100</f>
        <v>11.344728482831643</v>
      </c>
      <c r="M57" s="600">
        <f>K57/J57*100</f>
        <v>92.46666666666667</v>
      </c>
    </row>
    <row r="58" spans="1:13" ht="29.25" customHeight="1">
      <c r="A58" s="437"/>
      <c r="B58" s="629" t="s">
        <v>1123</v>
      </c>
      <c r="C58" s="437" t="s">
        <v>1038</v>
      </c>
      <c r="D58" s="437"/>
      <c r="E58" s="437"/>
      <c r="F58" s="600">
        <v>5640</v>
      </c>
      <c r="G58" s="645">
        <v>7102.068</v>
      </c>
      <c r="H58" s="645">
        <v>7694</v>
      </c>
      <c r="I58" s="645">
        <v>4017.604</v>
      </c>
      <c r="J58" s="645">
        <v>7694</v>
      </c>
      <c r="K58" s="600">
        <v>9043</v>
      </c>
      <c r="L58" s="600">
        <f>J58/G58*100</f>
        <v>108.3346428110798</v>
      </c>
      <c r="M58" s="600">
        <f>K58/J58*100</f>
        <v>117.53314270860412</v>
      </c>
    </row>
    <row r="59" spans="1:13" s="526" customFormat="1" ht="33">
      <c r="A59" s="367">
        <v>11</v>
      </c>
      <c r="B59" s="589" t="s">
        <v>177</v>
      </c>
      <c r="C59" s="437" t="s">
        <v>1038</v>
      </c>
      <c r="D59" s="437"/>
      <c r="E59" s="437"/>
      <c r="F59" s="591"/>
      <c r="G59" s="753"/>
      <c r="H59" s="753"/>
      <c r="I59" s="754"/>
      <c r="J59" s="753"/>
      <c r="K59" s="755"/>
      <c r="L59" s="612"/>
      <c r="M59" s="612"/>
    </row>
    <row r="60" spans="1:13" s="526" customFormat="1" ht="18.75">
      <c r="A60" s="366">
        <v>12</v>
      </c>
      <c r="B60" s="589" t="s">
        <v>1056</v>
      </c>
      <c r="C60" s="437" t="s">
        <v>1038</v>
      </c>
      <c r="D60" s="437"/>
      <c r="E60" s="437"/>
      <c r="F60" s="591">
        <v>9858.929</v>
      </c>
      <c r="G60" s="644">
        <v>12193</v>
      </c>
      <c r="H60" s="644">
        <v>11515</v>
      </c>
      <c r="I60" s="644">
        <v>5484.919</v>
      </c>
      <c r="J60" s="644">
        <v>13417</v>
      </c>
      <c r="K60" s="591">
        <v>16101</v>
      </c>
      <c r="L60" s="600">
        <f>J60/G60*100</f>
        <v>110.03854670712705</v>
      </c>
      <c r="M60" s="600">
        <f>K60/J60*100</f>
        <v>120.00447193858537</v>
      </c>
    </row>
    <row r="61" spans="1:13" ht="18.75">
      <c r="A61" s="437" t="s">
        <v>1047</v>
      </c>
      <c r="B61" s="629" t="s">
        <v>109</v>
      </c>
      <c r="C61" s="437" t="s">
        <v>1038</v>
      </c>
      <c r="D61" s="437"/>
      <c r="E61" s="437"/>
      <c r="F61" s="600">
        <f>F62+F63+F64+F65</f>
        <v>2812</v>
      </c>
      <c r="G61" s="600">
        <v>4938</v>
      </c>
      <c r="H61" s="600">
        <v>3702</v>
      </c>
      <c r="I61" s="600">
        <v>2981</v>
      </c>
      <c r="J61" s="600">
        <v>4216</v>
      </c>
      <c r="K61" s="600">
        <v>5117</v>
      </c>
      <c r="L61" s="600">
        <f>J61/G61*100</f>
        <v>85.37869582827055</v>
      </c>
      <c r="M61" s="600">
        <f>K61/J61*100</f>
        <v>121.37096774193547</v>
      </c>
    </row>
    <row r="62" spans="1:13" ht="18.75">
      <c r="A62" s="437"/>
      <c r="B62" s="597" t="s">
        <v>188</v>
      </c>
      <c r="C62" s="437" t="s">
        <v>1038</v>
      </c>
      <c r="D62" s="437"/>
      <c r="E62" s="437"/>
      <c r="F62" s="600">
        <v>2300</v>
      </c>
      <c r="G62" s="600">
        <v>4059</v>
      </c>
      <c r="H62" s="600">
        <v>2902</v>
      </c>
      <c r="I62" s="600">
        <v>1999</v>
      </c>
      <c r="J62" s="600">
        <v>3400</v>
      </c>
      <c r="K62" s="600">
        <v>4317</v>
      </c>
      <c r="L62" s="600">
        <f>J62/G62*100</f>
        <v>83.76447400837644</v>
      </c>
      <c r="M62" s="600">
        <f>K62/J62*100</f>
        <v>126.97058823529413</v>
      </c>
    </row>
    <row r="63" spans="1:13" ht="18.75">
      <c r="A63" s="437"/>
      <c r="B63" s="592" t="s">
        <v>116</v>
      </c>
      <c r="C63" s="437" t="s">
        <v>1038</v>
      </c>
      <c r="D63" s="437"/>
      <c r="E63" s="437"/>
      <c r="F63" s="600">
        <v>350</v>
      </c>
      <c r="G63" s="600">
        <v>819</v>
      </c>
      <c r="H63" s="600">
        <v>500</v>
      </c>
      <c r="I63" s="600">
        <v>249</v>
      </c>
      <c r="J63" s="600">
        <v>500</v>
      </c>
      <c r="K63" s="600">
        <v>500</v>
      </c>
      <c r="L63" s="600">
        <f>J63/G63*100</f>
        <v>61.05006105006105</v>
      </c>
      <c r="M63" s="600">
        <f>K63/J63*100</f>
        <v>100</v>
      </c>
    </row>
    <row r="64" spans="1:13" ht="33">
      <c r="A64" s="437"/>
      <c r="B64" s="597" t="s">
        <v>1099</v>
      </c>
      <c r="C64" s="437" t="s">
        <v>1038</v>
      </c>
      <c r="D64" s="437"/>
      <c r="E64" s="437"/>
      <c r="F64" s="600">
        <v>160</v>
      </c>
      <c r="G64" s="600">
        <v>195</v>
      </c>
      <c r="H64" s="600">
        <v>60</v>
      </c>
      <c r="I64" s="600">
        <v>50</v>
      </c>
      <c r="J64" s="600">
        <v>60</v>
      </c>
      <c r="K64" s="600">
        <v>140</v>
      </c>
      <c r="L64" s="600">
        <f>J64/G64*100</f>
        <v>30.76923076923077</v>
      </c>
      <c r="M64" s="600">
        <f>K64/J64*100</f>
        <v>233.33333333333334</v>
      </c>
    </row>
    <row r="65" spans="1:13" ht="18.75">
      <c r="A65" s="437"/>
      <c r="B65" s="597" t="s">
        <v>1057</v>
      </c>
      <c r="C65" s="437" t="s">
        <v>1038</v>
      </c>
      <c r="D65" s="437"/>
      <c r="E65" s="437"/>
      <c r="F65" s="600">
        <v>2</v>
      </c>
      <c r="G65" s="600"/>
      <c r="H65" s="600">
        <v>2</v>
      </c>
      <c r="I65" s="600"/>
      <c r="J65" s="600"/>
      <c r="K65" s="600"/>
      <c r="L65" s="600"/>
      <c r="M65" s="600"/>
    </row>
    <row r="66" spans="1:13" ht="18.75">
      <c r="A66" s="437" t="s">
        <v>1048</v>
      </c>
      <c r="B66" s="629" t="s">
        <v>1064</v>
      </c>
      <c r="C66" s="437" t="s">
        <v>1038</v>
      </c>
      <c r="D66" s="437"/>
      <c r="E66" s="437"/>
      <c r="F66" s="600">
        <v>5463.252</v>
      </c>
      <c r="G66" s="600">
        <v>7255</v>
      </c>
      <c r="H66" s="600">
        <v>7531</v>
      </c>
      <c r="I66" s="600">
        <v>3645</v>
      </c>
      <c r="J66" s="600">
        <v>8674</v>
      </c>
      <c r="K66" s="600">
        <v>10132</v>
      </c>
      <c r="L66" s="600">
        <f>J66/G66*100</f>
        <v>119.55892487939353</v>
      </c>
      <c r="M66" s="600">
        <f>K66/J66*100</f>
        <v>116.80885404657597</v>
      </c>
    </row>
    <row r="67" spans="1:13" s="631" customFormat="1" ht="18.75" hidden="1">
      <c r="A67" s="593"/>
      <c r="B67" s="592" t="s">
        <v>1049</v>
      </c>
      <c r="C67" s="593"/>
      <c r="D67" s="593"/>
      <c r="E67" s="593"/>
      <c r="F67" s="630"/>
      <c r="G67" s="630"/>
      <c r="H67" s="630"/>
      <c r="I67" s="630"/>
      <c r="J67" s="630"/>
      <c r="K67" s="630"/>
      <c r="L67" s="600"/>
      <c r="M67" s="600"/>
    </row>
    <row r="68" spans="1:13" s="631" customFormat="1" ht="18.75" hidden="1">
      <c r="A68" s="593"/>
      <c r="B68" s="597" t="s">
        <v>110</v>
      </c>
      <c r="C68" s="437" t="s">
        <v>1038</v>
      </c>
      <c r="D68" s="437"/>
      <c r="E68" s="437"/>
      <c r="F68" s="630">
        <v>2481.469</v>
      </c>
      <c r="G68" s="630"/>
      <c r="H68" s="630">
        <v>3078.2</v>
      </c>
      <c r="I68" s="630">
        <v>1597.144</v>
      </c>
      <c r="J68" s="630">
        <f>H68</f>
        <v>3078.2</v>
      </c>
      <c r="K68" s="630"/>
      <c r="L68" s="600" t="e">
        <f aca="true" t="shared" si="8" ref="L68:L75">J68/G68*100</f>
        <v>#DIV/0!</v>
      </c>
      <c r="M68" s="600">
        <f aca="true" t="shared" si="9" ref="M68:M75">K68/J68*100</f>
        <v>0</v>
      </c>
    </row>
    <row r="69" spans="1:13" s="631" customFormat="1" ht="18.75" hidden="1">
      <c r="A69" s="593"/>
      <c r="B69" s="597" t="s">
        <v>111</v>
      </c>
      <c r="C69" s="437" t="s">
        <v>1038</v>
      </c>
      <c r="D69" s="437"/>
      <c r="E69" s="437"/>
      <c r="F69" s="630">
        <v>438.116</v>
      </c>
      <c r="G69" s="630"/>
      <c r="H69" s="630">
        <v>558.751</v>
      </c>
      <c r="I69" s="630">
        <v>271.397</v>
      </c>
      <c r="J69" s="630">
        <f>H69</f>
        <v>558.751</v>
      </c>
      <c r="K69" s="630"/>
      <c r="L69" s="600" t="e">
        <f t="shared" si="8"/>
        <v>#DIV/0!</v>
      </c>
      <c r="M69" s="600">
        <f t="shared" si="9"/>
        <v>0</v>
      </c>
    </row>
    <row r="70" spans="1:13" s="631" customFormat="1" ht="18.75" hidden="1">
      <c r="A70" s="593"/>
      <c r="B70" s="597" t="s">
        <v>112</v>
      </c>
      <c r="C70" s="437" t="s">
        <v>1038</v>
      </c>
      <c r="D70" s="437"/>
      <c r="E70" s="437"/>
      <c r="F70" s="630">
        <v>61.05</v>
      </c>
      <c r="G70" s="630"/>
      <c r="H70" s="630">
        <v>69.845</v>
      </c>
      <c r="I70" s="630">
        <v>39.64</v>
      </c>
      <c r="J70" s="630">
        <f>H70</f>
        <v>69.845</v>
      </c>
      <c r="K70" s="630"/>
      <c r="L70" s="600" t="e">
        <f t="shared" si="8"/>
        <v>#DIV/0!</v>
      </c>
      <c r="M70" s="600">
        <f t="shared" si="9"/>
        <v>0</v>
      </c>
    </row>
    <row r="71" spans="1:13" s="631" customFormat="1" ht="18.75" hidden="1">
      <c r="A71" s="593"/>
      <c r="B71" s="597" t="s">
        <v>113</v>
      </c>
      <c r="C71" s="437" t="s">
        <v>1038</v>
      </c>
      <c r="D71" s="437"/>
      <c r="E71" s="437"/>
      <c r="F71" s="630">
        <v>721.175</v>
      </c>
      <c r="G71" s="630"/>
      <c r="H71" s="630">
        <v>1015.673</v>
      </c>
      <c r="I71" s="630">
        <v>570.394</v>
      </c>
      <c r="J71" s="630">
        <f>H71</f>
        <v>1015.673</v>
      </c>
      <c r="K71" s="630"/>
      <c r="L71" s="600" t="e">
        <f t="shared" si="8"/>
        <v>#DIV/0!</v>
      </c>
      <c r="M71" s="600">
        <f t="shared" si="9"/>
        <v>0</v>
      </c>
    </row>
    <row r="72" spans="1:13" s="526" customFormat="1" ht="18.75">
      <c r="A72" s="367">
        <v>13</v>
      </c>
      <c r="B72" s="589" t="s">
        <v>1065</v>
      </c>
      <c r="C72" s="367" t="s">
        <v>1038</v>
      </c>
      <c r="D72" s="367"/>
      <c r="E72" s="367"/>
      <c r="F72" s="137">
        <f>SUM(F73:F75)</f>
        <v>34500</v>
      </c>
      <c r="G72" s="137">
        <f>'9.DTPT'!F6</f>
        <v>40205.86</v>
      </c>
      <c r="H72" s="137">
        <f>'9.DTPT'!G6</f>
        <v>44415.06</v>
      </c>
      <c r="I72" s="137" t="e">
        <f>'9.DTPT'!#REF!</f>
        <v>#REF!</v>
      </c>
      <c r="J72" s="137">
        <f>'9.DTPT'!H6</f>
        <v>45605.06</v>
      </c>
      <c r="K72" s="137">
        <f>'9.DTPT'!I6</f>
        <v>54341</v>
      </c>
      <c r="L72" s="591">
        <f t="shared" si="8"/>
        <v>113.42888822674107</v>
      </c>
      <c r="M72" s="591">
        <f t="shared" si="9"/>
        <v>119.15563755425384</v>
      </c>
    </row>
    <row r="73" spans="1:13" ht="18.75">
      <c r="A73" s="437"/>
      <c r="B73" s="597" t="s">
        <v>1088</v>
      </c>
      <c r="C73" s="437" t="s">
        <v>1038</v>
      </c>
      <c r="D73" s="437"/>
      <c r="E73" s="437"/>
      <c r="F73" s="139">
        <v>1600</v>
      </c>
      <c r="G73" s="624">
        <f>'9.DTPT'!F18+'9.DTPT'!F22</f>
        <v>1500</v>
      </c>
      <c r="H73" s="624">
        <f>'9.DTPT'!G18+'9.DTPT'!G22</f>
        <v>1650</v>
      </c>
      <c r="I73" s="624" t="e">
        <f>'9.DTPT'!#REF!+'9.DTPT'!#REF!</f>
        <v>#REF!</v>
      </c>
      <c r="J73" s="624">
        <f>'9.DTPT'!H18+'9.DTPT'!H22</f>
        <v>1650</v>
      </c>
      <c r="K73" s="624">
        <f>'9.DTPT'!I18+'9.DTPT'!I22</f>
        <v>1900</v>
      </c>
      <c r="L73" s="600">
        <f t="shared" si="8"/>
        <v>110.00000000000001</v>
      </c>
      <c r="M73" s="600">
        <f t="shared" si="9"/>
        <v>115.15151515151516</v>
      </c>
    </row>
    <row r="74" spans="1:13" ht="18.75">
      <c r="A74" s="437"/>
      <c r="B74" s="597" t="s">
        <v>1089</v>
      </c>
      <c r="C74" s="437" t="s">
        <v>1038</v>
      </c>
      <c r="D74" s="437"/>
      <c r="E74" s="437"/>
      <c r="F74" s="139">
        <v>14180</v>
      </c>
      <c r="G74" s="624">
        <f>G72-G73-G75</f>
        <v>19524.673</v>
      </c>
      <c r="H74" s="624">
        <f>H72-H73-H75</f>
        <v>21765.059999999998</v>
      </c>
      <c r="I74" s="624" t="e">
        <f>I72-I73-I75</f>
        <v>#REF!</v>
      </c>
      <c r="J74" s="624">
        <f>J72-J73-J75</f>
        <v>22955.059999999998</v>
      </c>
      <c r="K74" s="624">
        <f>K72-K73-K75</f>
        <v>28241</v>
      </c>
      <c r="L74" s="600">
        <f t="shared" si="8"/>
        <v>117.5694978348677</v>
      </c>
      <c r="M74" s="600">
        <f t="shared" si="9"/>
        <v>123.02734124850905</v>
      </c>
    </row>
    <row r="75" spans="1:13" ht="18.75">
      <c r="A75" s="437"/>
      <c r="B75" s="597" t="s">
        <v>102</v>
      </c>
      <c r="C75" s="437" t="s">
        <v>1051</v>
      </c>
      <c r="D75" s="437"/>
      <c r="E75" s="437"/>
      <c r="F75" s="139">
        <v>18720</v>
      </c>
      <c r="G75" s="624">
        <f>'9.DTPT'!F26</f>
        <v>19181.187</v>
      </c>
      <c r="H75" s="624">
        <f>'9.DTPT'!G26</f>
        <v>21000</v>
      </c>
      <c r="I75" s="624" t="e">
        <f>'9.DTPT'!#REF!</f>
        <v>#REF!</v>
      </c>
      <c r="J75" s="624">
        <f>'9.DTPT'!H26</f>
        <v>21000</v>
      </c>
      <c r="K75" s="624">
        <f>'9.DTPT'!I26</f>
        <v>24200</v>
      </c>
      <c r="L75" s="600">
        <f t="shared" si="8"/>
        <v>109.48227552340737</v>
      </c>
      <c r="M75" s="600">
        <f t="shared" si="9"/>
        <v>115.23809523809523</v>
      </c>
    </row>
    <row r="76" spans="1:13" s="631" customFormat="1" ht="18.75">
      <c r="A76" s="593"/>
      <c r="B76" s="592" t="s">
        <v>1049</v>
      </c>
      <c r="C76" s="593"/>
      <c r="D76" s="593"/>
      <c r="E76" s="593"/>
      <c r="F76" s="632"/>
      <c r="G76" s="632"/>
      <c r="H76" s="632"/>
      <c r="I76" s="632"/>
      <c r="J76" s="632"/>
      <c r="K76" s="632"/>
      <c r="L76" s="632"/>
      <c r="M76" s="632"/>
    </row>
    <row r="77" spans="1:13" s="631" customFormat="1" ht="18.75">
      <c r="A77" s="593"/>
      <c r="B77" s="633" t="s">
        <v>114</v>
      </c>
      <c r="C77" s="437" t="s">
        <v>1051</v>
      </c>
      <c r="D77" s="437"/>
      <c r="E77" s="437"/>
      <c r="F77" s="632"/>
      <c r="G77" s="632"/>
      <c r="H77" s="632"/>
      <c r="I77" s="632"/>
      <c r="J77" s="632"/>
      <c r="K77" s="632"/>
      <c r="L77" s="632"/>
      <c r="M77" s="632"/>
    </row>
    <row r="78" spans="1:13" s="631" customFormat="1" ht="18.75">
      <c r="A78" s="593"/>
      <c r="B78" s="633" t="s">
        <v>115</v>
      </c>
      <c r="C78" s="437" t="s">
        <v>1051</v>
      </c>
      <c r="D78" s="437"/>
      <c r="E78" s="437"/>
      <c r="F78" s="632"/>
      <c r="G78" s="628">
        <f>G75</f>
        <v>19181.187</v>
      </c>
      <c r="H78" s="628">
        <f>H75</f>
        <v>21000</v>
      </c>
      <c r="I78" s="628" t="e">
        <f>I75</f>
        <v>#REF!</v>
      </c>
      <c r="J78" s="628">
        <f>J75</f>
        <v>21000</v>
      </c>
      <c r="K78" s="628">
        <f>K75</f>
        <v>24200</v>
      </c>
      <c r="L78" s="632"/>
      <c r="M78" s="632"/>
    </row>
    <row r="79" ht="18.75">
      <c r="H79" s="634"/>
    </row>
  </sheetData>
  <sheetProtection/>
  <mergeCells count="12">
    <mergeCell ref="M5:M6"/>
    <mergeCell ref="E5:E6"/>
    <mergeCell ref="G5:G6"/>
    <mergeCell ref="D5:D6"/>
    <mergeCell ref="A3:M3"/>
    <mergeCell ref="H5:J5"/>
    <mergeCell ref="F5:F6"/>
    <mergeCell ref="C5:C6"/>
    <mergeCell ref="B5:B6"/>
    <mergeCell ref="A5:A6"/>
    <mergeCell ref="K5:K6"/>
    <mergeCell ref="L5:L6"/>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170"/>
  <sheetViews>
    <sheetView zoomScale="85" zoomScaleNormal="85" workbookViewId="0" topLeftCell="A1">
      <pane xSplit="3" ySplit="7" topLeftCell="G66" activePane="bottomRight" state="frozen"/>
      <selection pane="topLeft" activeCell="K24" sqref="K24"/>
      <selection pane="topRight" activeCell="K24" sqref="K24"/>
      <selection pane="bottomLeft" activeCell="K24" sqref="K24"/>
      <selection pane="bottomRight" activeCell="G66" sqref="G66"/>
    </sheetView>
  </sheetViews>
  <sheetFormatPr defaultColWidth="9.00390625" defaultRowHeight="15.75"/>
  <cols>
    <col min="1" max="1" width="3.625" style="529" customWidth="1"/>
    <col min="2" max="2" width="37.375" style="529" customWidth="1"/>
    <col min="3" max="3" width="9.625" style="529" customWidth="1"/>
    <col min="4" max="6" width="9.625" style="529" hidden="1" customWidth="1"/>
    <col min="7" max="7" width="9.375" style="529" customWidth="1"/>
    <col min="8" max="8" width="9.625" style="529" customWidth="1"/>
    <col min="9" max="9" width="10.125" style="529" hidden="1" customWidth="1"/>
    <col min="10" max="10" width="10.125" style="529" customWidth="1"/>
    <col min="11" max="11" width="13.375" style="529" bestFit="1" customWidth="1"/>
    <col min="12" max="12" width="13.25390625" style="529" customWidth="1"/>
    <col min="13" max="13" width="13.625" style="529" customWidth="1"/>
    <col min="14" max="16384" width="9.00390625" style="529" customWidth="1"/>
  </cols>
  <sheetData>
    <row r="1" spans="1:13" ht="19.5">
      <c r="A1" s="526" t="s">
        <v>1068</v>
      </c>
      <c r="B1" s="527"/>
      <c r="C1" s="527"/>
      <c r="D1" s="527"/>
      <c r="E1" s="527"/>
      <c r="F1" s="527"/>
      <c r="G1" s="527"/>
      <c r="H1" s="527"/>
      <c r="I1" s="527"/>
      <c r="J1" s="527"/>
      <c r="K1" s="527"/>
      <c r="L1" s="527"/>
      <c r="M1" s="528" t="s">
        <v>291</v>
      </c>
    </row>
    <row r="2" ht="9" customHeight="1"/>
    <row r="3" spans="1:13" ht="19.5" customHeight="1">
      <c r="A3" s="846" t="s">
        <v>292</v>
      </c>
      <c r="B3" s="846"/>
      <c r="C3" s="846"/>
      <c r="D3" s="846"/>
      <c r="E3" s="846"/>
      <c r="F3" s="846"/>
      <c r="G3" s="846"/>
      <c r="H3" s="846"/>
      <c r="I3" s="846"/>
      <c r="J3" s="846"/>
      <c r="K3" s="846"/>
      <c r="L3" s="846"/>
      <c r="M3" s="846"/>
    </row>
    <row r="4" spans="1:13" ht="19.5" customHeight="1">
      <c r="A4" s="368"/>
      <c r="B4" s="368"/>
      <c r="C4" s="368"/>
      <c r="D4" s="368"/>
      <c r="E4" s="368"/>
      <c r="F4" s="368"/>
      <c r="G4" s="368"/>
      <c r="H4" s="368"/>
      <c r="I4" s="368"/>
      <c r="J4" s="368"/>
      <c r="K4" s="368"/>
      <c r="L4" s="368"/>
      <c r="M4" s="368"/>
    </row>
    <row r="5" spans="1:13" s="530" customFormat="1" ht="26.25" customHeight="1">
      <c r="A5" s="850" t="s">
        <v>1035</v>
      </c>
      <c r="B5" s="850" t="s">
        <v>1036</v>
      </c>
      <c r="C5" s="850" t="s">
        <v>1037</v>
      </c>
      <c r="D5" s="850" t="s">
        <v>25</v>
      </c>
      <c r="E5" s="850" t="s">
        <v>603</v>
      </c>
      <c r="F5" s="850" t="s">
        <v>200</v>
      </c>
      <c r="G5" s="850" t="s">
        <v>640</v>
      </c>
      <c r="H5" s="847" t="s">
        <v>641</v>
      </c>
      <c r="I5" s="848"/>
      <c r="J5" s="849"/>
      <c r="K5" s="850" t="s">
        <v>642</v>
      </c>
      <c r="L5" s="850" t="s">
        <v>643</v>
      </c>
      <c r="M5" s="850" t="s">
        <v>644</v>
      </c>
    </row>
    <row r="6" spans="1:13" s="530" customFormat="1" ht="57" customHeight="1">
      <c r="A6" s="851"/>
      <c r="B6" s="851"/>
      <c r="C6" s="851"/>
      <c r="D6" s="851"/>
      <c r="E6" s="851"/>
      <c r="F6" s="851"/>
      <c r="G6" s="851"/>
      <c r="H6" s="451" t="s">
        <v>163</v>
      </c>
      <c r="I6" s="451" t="s">
        <v>161</v>
      </c>
      <c r="J6" s="451" t="s">
        <v>95</v>
      </c>
      <c r="K6" s="851"/>
      <c r="L6" s="851"/>
      <c r="M6" s="851"/>
    </row>
    <row r="7" spans="1:13" s="531" customFormat="1" ht="15.75">
      <c r="A7" s="452">
        <v>1</v>
      </c>
      <c r="B7" s="452">
        <v>2</v>
      </c>
      <c r="C7" s="452">
        <v>3</v>
      </c>
      <c r="D7" s="452"/>
      <c r="E7" s="452"/>
      <c r="F7" s="452"/>
      <c r="G7" s="452">
        <v>4</v>
      </c>
      <c r="H7" s="452">
        <v>5</v>
      </c>
      <c r="I7" s="452">
        <v>6</v>
      </c>
      <c r="J7" s="452">
        <v>7</v>
      </c>
      <c r="K7" s="452">
        <v>8</v>
      </c>
      <c r="L7" s="452" t="s">
        <v>1228</v>
      </c>
      <c r="M7" s="452" t="s">
        <v>1229</v>
      </c>
    </row>
    <row r="8" spans="1:13" s="527" customFormat="1" ht="21.75" customHeight="1" hidden="1">
      <c r="A8" s="453" t="s">
        <v>1042</v>
      </c>
      <c r="B8" s="327" t="s">
        <v>155</v>
      </c>
      <c r="C8" s="453"/>
      <c r="D8" s="454"/>
      <c r="E8" s="454"/>
      <c r="F8" s="454"/>
      <c r="G8" s="454"/>
      <c r="H8" s="454"/>
      <c r="I8" s="454"/>
      <c r="J8" s="454"/>
      <c r="K8" s="454"/>
      <c r="L8" s="454"/>
      <c r="M8" s="454"/>
    </row>
    <row r="9" spans="1:13" s="527" customFormat="1" ht="31.5" hidden="1">
      <c r="A9" s="453"/>
      <c r="B9" s="327" t="s">
        <v>1058</v>
      </c>
      <c r="C9" s="453" t="s">
        <v>1038</v>
      </c>
      <c r="D9" s="455">
        <v>21519.634</v>
      </c>
      <c r="E9" s="455">
        <v>30330.751</v>
      </c>
      <c r="F9" s="455">
        <v>31212.796</v>
      </c>
      <c r="G9" s="456">
        <v>32245.617</v>
      </c>
      <c r="H9" s="456">
        <v>34500</v>
      </c>
      <c r="I9" s="456">
        <f>H9*0.48</f>
        <v>16560</v>
      </c>
      <c r="J9" s="456">
        <v>34560</v>
      </c>
      <c r="K9" s="456">
        <v>37150</v>
      </c>
      <c r="L9" s="457">
        <f>J9/G9</f>
        <v>1.071773568482191</v>
      </c>
      <c r="M9" s="457">
        <f>K9/J9</f>
        <v>1.0749421296296295</v>
      </c>
    </row>
    <row r="10" spans="1:13" s="527" customFormat="1" ht="31.5" hidden="1">
      <c r="A10" s="453"/>
      <c r="B10" s="327" t="s">
        <v>1059</v>
      </c>
      <c r="C10" s="453" t="s">
        <v>1038</v>
      </c>
      <c r="D10" s="455">
        <v>7792</v>
      </c>
      <c r="E10" s="455">
        <v>8103</v>
      </c>
      <c r="F10" s="455">
        <v>8524.5</v>
      </c>
      <c r="G10" s="455">
        <v>8867.6</v>
      </c>
      <c r="H10" s="456">
        <v>9260</v>
      </c>
      <c r="I10" s="456">
        <v>4300</v>
      </c>
      <c r="J10" s="456">
        <v>9260</v>
      </c>
      <c r="K10" s="456">
        <v>9680</v>
      </c>
      <c r="L10" s="457">
        <f>J10/G10</f>
        <v>1.0442509810997338</v>
      </c>
      <c r="M10" s="457">
        <f>K10/J10</f>
        <v>1.0453563714902807</v>
      </c>
    </row>
    <row r="11" spans="1:13" s="527" customFormat="1" ht="31.5" hidden="1">
      <c r="A11" s="453">
        <v>1</v>
      </c>
      <c r="B11" s="327" t="s">
        <v>1060</v>
      </c>
      <c r="C11" s="453" t="s">
        <v>1038</v>
      </c>
      <c r="D11" s="455">
        <v>21519.634</v>
      </c>
      <c r="E11" s="455">
        <v>22558.131</v>
      </c>
      <c r="F11" s="455">
        <v>23472.707</v>
      </c>
      <c r="G11" s="456">
        <f>G12+G16+G17</f>
        <v>26323</v>
      </c>
      <c r="H11" s="456">
        <f>H12+H16+H17</f>
        <v>27204</v>
      </c>
      <c r="I11" s="456">
        <f>I12+I16+I17</f>
        <v>12581</v>
      </c>
      <c r="J11" s="456">
        <f>J12+J16+J17</f>
        <v>27279</v>
      </c>
      <c r="K11" s="456">
        <f>K12+K16+K17</f>
        <v>28306.591000000004</v>
      </c>
      <c r="L11" s="457">
        <f>J11/G11</f>
        <v>1.0363180488546138</v>
      </c>
      <c r="M11" s="457">
        <f>K11/J11</f>
        <v>1.0376696726419592</v>
      </c>
    </row>
    <row r="12" spans="1:13" s="532" customFormat="1" ht="21" customHeight="1" hidden="1">
      <c r="A12" s="458"/>
      <c r="B12" s="459" t="s">
        <v>201</v>
      </c>
      <c r="C12" s="460" t="s">
        <v>1038</v>
      </c>
      <c r="D12" s="460"/>
      <c r="E12" s="460"/>
      <c r="F12" s="460"/>
      <c r="G12" s="461">
        <f>G13+G14+G15</f>
        <v>24403</v>
      </c>
      <c r="H12" s="461">
        <f>H13+H14+H15</f>
        <v>25239</v>
      </c>
      <c r="I12" s="461">
        <f>I13+I14+I15</f>
        <v>11593</v>
      </c>
      <c r="J12" s="461">
        <f>J13+J14+J15</f>
        <v>25316</v>
      </c>
      <c r="K12" s="461">
        <f>K13+K14+K15</f>
        <v>26296.946000000004</v>
      </c>
      <c r="L12" s="462">
        <f>J12/G12</f>
        <v>1.037413432774659</v>
      </c>
      <c r="M12" s="462">
        <f>K12/J12</f>
        <v>1.0387480644651605</v>
      </c>
    </row>
    <row r="13" spans="1:13" s="533" customFormat="1" ht="21" customHeight="1" hidden="1">
      <c r="A13" s="463"/>
      <c r="B13" s="464" t="s">
        <v>202</v>
      </c>
      <c r="C13" s="460" t="s">
        <v>1038</v>
      </c>
      <c r="D13" s="460"/>
      <c r="E13" s="460"/>
      <c r="F13" s="460"/>
      <c r="G13" s="465">
        <v>13489</v>
      </c>
      <c r="H13" s="465">
        <v>13860</v>
      </c>
      <c r="I13" s="465">
        <v>5441</v>
      </c>
      <c r="J13" s="465">
        <v>13799</v>
      </c>
      <c r="K13" s="466">
        <f>J13*1.024</f>
        <v>14130.176</v>
      </c>
      <c r="L13" s="462">
        <f aca="true" t="shared" si="0" ref="L13:L19">J13/G13</f>
        <v>1.022981688783453</v>
      </c>
      <c r="M13" s="462">
        <f aca="true" t="shared" si="1" ref="M13:M19">K13/J13</f>
        <v>1.024</v>
      </c>
    </row>
    <row r="14" spans="1:13" s="533" customFormat="1" ht="21" customHeight="1" hidden="1">
      <c r="A14" s="463"/>
      <c r="B14" s="464" t="s">
        <v>203</v>
      </c>
      <c r="C14" s="460" t="s">
        <v>1038</v>
      </c>
      <c r="D14" s="460"/>
      <c r="E14" s="460"/>
      <c r="F14" s="460"/>
      <c r="G14" s="465">
        <v>10149</v>
      </c>
      <c r="H14" s="465">
        <v>10600</v>
      </c>
      <c r="I14" s="465">
        <v>5799</v>
      </c>
      <c r="J14" s="465">
        <v>10725</v>
      </c>
      <c r="K14" s="466">
        <f>J14*1.058</f>
        <v>11347.050000000001</v>
      </c>
      <c r="L14" s="462">
        <f t="shared" si="0"/>
        <v>1.0567543600354714</v>
      </c>
      <c r="M14" s="462">
        <f t="shared" si="1"/>
        <v>1.058</v>
      </c>
    </row>
    <row r="15" spans="1:13" s="533" customFormat="1" ht="21" customHeight="1" hidden="1">
      <c r="A15" s="463"/>
      <c r="B15" s="464" t="s">
        <v>1043</v>
      </c>
      <c r="C15" s="460" t="s">
        <v>1038</v>
      </c>
      <c r="D15" s="460"/>
      <c r="E15" s="460"/>
      <c r="F15" s="460"/>
      <c r="G15" s="465">
        <v>765</v>
      </c>
      <c r="H15" s="465">
        <v>779</v>
      </c>
      <c r="I15" s="465">
        <v>353</v>
      </c>
      <c r="J15" s="465">
        <v>792</v>
      </c>
      <c r="K15" s="466">
        <f>J15*1.035</f>
        <v>819.7199999999999</v>
      </c>
      <c r="L15" s="462">
        <f t="shared" si="0"/>
        <v>1.035294117647059</v>
      </c>
      <c r="M15" s="462">
        <f t="shared" si="1"/>
        <v>1.035</v>
      </c>
    </row>
    <row r="16" spans="1:13" s="533" customFormat="1" ht="21" customHeight="1" hidden="1">
      <c r="A16" s="463"/>
      <c r="B16" s="459" t="s">
        <v>1039</v>
      </c>
      <c r="C16" s="460" t="s">
        <v>1038</v>
      </c>
      <c r="D16" s="460"/>
      <c r="E16" s="460"/>
      <c r="F16" s="460"/>
      <c r="G16" s="465">
        <v>239</v>
      </c>
      <c r="H16" s="465">
        <v>250</v>
      </c>
      <c r="I16" s="465">
        <v>113</v>
      </c>
      <c r="J16" s="465">
        <v>243</v>
      </c>
      <c r="K16" s="466">
        <f>J16*1.015</f>
        <v>246.64499999999998</v>
      </c>
      <c r="L16" s="462">
        <f t="shared" si="0"/>
        <v>1.0167364016736402</v>
      </c>
      <c r="M16" s="462">
        <f t="shared" si="1"/>
        <v>1.015</v>
      </c>
    </row>
    <row r="17" spans="1:13" s="533" customFormat="1" ht="21" customHeight="1" hidden="1">
      <c r="A17" s="463"/>
      <c r="B17" s="459" t="s">
        <v>204</v>
      </c>
      <c r="C17" s="460" t="s">
        <v>1038</v>
      </c>
      <c r="D17" s="460"/>
      <c r="E17" s="460"/>
      <c r="F17" s="460"/>
      <c r="G17" s="465">
        <v>1681</v>
      </c>
      <c r="H17" s="465">
        <f>H18+H19</f>
        <v>1715</v>
      </c>
      <c r="I17" s="465">
        <v>875</v>
      </c>
      <c r="J17" s="465">
        <v>1720</v>
      </c>
      <c r="K17" s="466">
        <f>J17*1.025</f>
        <v>1762.9999999999998</v>
      </c>
      <c r="L17" s="462">
        <f t="shared" si="0"/>
        <v>1.0232004759071982</v>
      </c>
      <c r="M17" s="462">
        <f t="shared" si="1"/>
        <v>1.025</v>
      </c>
    </row>
    <row r="18" spans="1:13" s="533" customFormat="1" ht="21" customHeight="1" hidden="1">
      <c r="A18" s="460"/>
      <c r="B18" s="464" t="s">
        <v>205</v>
      </c>
      <c r="C18" s="460" t="s">
        <v>1038</v>
      </c>
      <c r="D18" s="460"/>
      <c r="E18" s="460"/>
      <c r="F18" s="460"/>
      <c r="G18" s="465">
        <v>1495</v>
      </c>
      <c r="H18" s="465">
        <v>1530</v>
      </c>
      <c r="I18" s="465">
        <v>777</v>
      </c>
      <c r="J18" s="465">
        <v>1531</v>
      </c>
      <c r="K18" s="466">
        <f>J18*1.015</f>
        <v>1553.965</v>
      </c>
      <c r="L18" s="462">
        <f t="shared" si="0"/>
        <v>1.0240802675585283</v>
      </c>
      <c r="M18" s="462">
        <f t="shared" si="1"/>
        <v>1.015</v>
      </c>
    </row>
    <row r="19" spans="1:13" s="533" customFormat="1" ht="21" customHeight="1" hidden="1">
      <c r="A19" s="460"/>
      <c r="B19" s="464" t="s">
        <v>206</v>
      </c>
      <c r="C19" s="460" t="s">
        <v>1038</v>
      </c>
      <c r="D19" s="460"/>
      <c r="E19" s="460"/>
      <c r="F19" s="460"/>
      <c r="G19" s="465">
        <v>150</v>
      </c>
      <c r="H19" s="465">
        <v>185</v>
      </c>
      <c r="I19" s="465">
        <v>79</v>
      </c>
      <c r="J19" s="465">
        <v>153</v>
      </c>
      <c r="K19" s="466">
        <f>J19*1.015</f>
        <v>155.295</v>
      </c>
      <c r="L19" s="462">
        <f t="shared" si="0"/>
        <v>1.02</v>
      </c>
      <c r="M19" s="462">
        <f t="shared" si="1"/>
        <v>1.015</v>
      </c>
    </row>
    <row r="20" spans="1:13" s="527" customFormat="1" ht="21" customHeight="1" hidden="1">
      <c r="A20" s="453">
        <v>2</v>
      </c>
      <c r="B20" s="327" t="s">
        <v>1069</v>
      </c>
      <c r="C20" s="453"/>
      <c r="D20" s="453"/>
      <c r="E20" s="453"/>
      <c r="F20" s="453"/>
      <c r="G20" s="454"/>
      <c r="H20" s="454"/>
      <c r="I20" s="454"/>
      <c r="J20" s="454"/>
      <c r="K20" s="454"/>
      <c r="L20" s="454"/>
      <c r="M20" s="454"/>
    </row>
    <row r="21" spans="1:13" s="527" customFormat="1" ht="21" customHeight="1" hidden="1">
      <c r="A21" s="453"/>
      <c r="B21" s="467" t="s">
        <v>273</v>
      </c>
      <c r="C21" s="468" t="s">
        <v>296</v>
      </c>
      <c r="D21" s="468"/>
      <c r="E21" s="468"/>
      <c r="F21" s="468"/>
      <c r="G21" s="465">
        <f>G22+G23</f>
        <v>675284</v>
      </c>
      <c r="H21" s="465">
        <f>H22+H23</f>
        <v>684713</v>
      </c>
      <c r="I21" s="465">
        <f>I22+I23</f>
        <v>187075</v>
      </c>
      <c r="J21" s="465">
        <f>J22+J23</f>
        <v>691900</v>
      </c>
      <c r="K21" s="466">
        <f>J21*L21</f>
        <v>708924.852358415</v>
      </c>
      <c r="L21" s="462">
        <f>J21/G21</f>
        <v>1.0246059435733705</v>
      </c>
      <c r="M21" s="462">
        <f>K21/J21</f>
        <v>1.0246059435733705</v>
      </c>
    </row>
    <row r="22" spans="1:13" s="527" customFormat="1" ht="21" customHeight="1" hidden="1">
      <c r="A22" s="453"/>
      <c r="B22" s="467" t="s">
        <v>293</v>
      </c>
      <c r="C22" s="468" t="s">
        <v>296</v>
      </c>
      <c r="D22" s="468"/>
      <c r="E22" s="468"/>
      <c r="F22" s="468"/>
      <c r="G22" s="465">
        <v>335134</v>
      </c>
      <c r="H22" s="465">
        <v>355106</v>
      </c>
      <c r="I22" s="465">
        <v>84948</v>
      </c>
      <c r="J22" s="465">
        <v>339845</v>
      </c>
      <c r="K22" s="466">
        <f aca="true" t="shared" si="2" ref="K22:K28">J22*L22</f>
        <v>344622.222827287</v>
      </c>
      <c r="L22" s="462">
        <f aca="true" t="shared" si="3" ref="L22:L49">J22/G22</f>
        <v>1.0140570637416675</v>
      </c>
      <c r="M22" s="462">
        <f aca="true" t="shared" si="4" ref="M22:M49">K22/J22</f>
        <v>1.0140570637416675</v>
      </c>
    </row>
    <row r="23" spans="1:13" s="527" customFormat="1" ht="21" customHeight="1" hidden="1">
      <c r="A23" s="453"/>
      <c r="B23" s="467" t="s">
        <v>294</v>
      </c>
      <c r="C23" s="468" t="s">
        <v>296</v>
      </c>
      <c r="D23" s="468"/>
      <c r="E23" s="468"/>
      <c r="F23" s="468"/>
      <c r="G23" s="465">
        <v>340150</v>
      </c>
      <c r="H23" s="465">
        <v>329607</v>
      </c>
      <c r="I23" s="465">
        <v>102127</v>
      </c>
      <c r="J23" s="465">
        <v>352055</v>
      </c>
      <c r="K23" s="466">
        <f t="shared" si="2"/>
        <v>364376.6662501838</v>
      </c>
      <c r="L23" s="462">
        <f t="shared" si="3"/>
        <v>1.0349992650301338</v>
      </c>
      <c r="M23" s="462">
        <f t="shared" si="4"/>
        <v>1.0349992650301338</v>
      </c>
    </row>
    <row r="24" spans="1:13" s="527" customFormat="1" ht="21" customHeight="1" hidden="1">
      <c r="A24" s="453"/>
      <c r="B24" s="467" t="s">
        <v>302</v>
      </c>
      <c r="C24" s="468"/>
      <c r="D24" s="468"/>
      <c r="E24" s="468"/>
      <c r="F24" s="468"/>
      <c r="G24" s="465">
        <f>SUM(G25:G28)</f>
        <v>205625</v>
      </c>
      <c r="H24" s="465">
        <f>SUM(H25:H28)</f>
        <v>230165</v>
      </c>
      <c r="I24" s="465">
        <f>SUM(I25:I28)</f>
        <v>84966</v>
      </c>
      <c r="J24" s="465">
        <f>SUM(J25:J28)</f>
        <v>210528</v>
      </c>
      <c r="K24" s="466">
        <f t="shared" si="2"/>
        <v>215547.9089799392</v>
      </c>
      <c r="L24" s="462">
        <f t="shared" si="3"/>
        <v>1.023844376899696</v>
      </c>
      <c r="M24" s="462">
        <f t="shared" si="4"/>
        <v>1.023844376899696</v>
      </c>
    </row>
    <row r="25" spans="1:13" s="527" customFormat="1" ht="21" customHeight="1" hidden="1">
      <c r="A25" s="453"/>
      <c r="B25" s="469" t="s">
        <v>303</v>
      </c>
      <c r="C25" s="468" t="s">
        <v>296</v>
      </c>
      <c r="D25" s="468"/>
      <c r="E25" s="468"/>
      <c r="F25" s="468"/>
      <c r="G25" s="465">
        <v>197112</v>
      </c>
      <c r="H25" s="465">
        <v>218765</v>
      </c>
      <c r="I25" s="465">
        <v>82317</v>
      </c>
      <c r="J25" s="465">
        <v>201776</v>
      </c>
      <c r="K25" s="466">
        <f t="shared" si="2"/>
        <v>206550.35805024553</v>
      </c>
      <c r="L25" s="462">
        <f t="shared" si="3"/>
        <v>1.0236616745809488</v>
      </c>
      <c r="M25" s="462">
        <f t="shared" si="4"/>
        <v>1.0236616745809488</v>
      </c>
    </row>
    <row r="26" spans="1:13" ht="21" customHeight="1" hidden="1">
      <c r="A26" s="460"/>
      <c r="B26" s="469" t="s">
        <v>304</v>
      </c>
      <c r="C26" s="468" t="s">
        <v>296</v>
      </c>
      <c r="D26" s="468"/>
      <c r="E26" s="468"/>
      <c r="F26" s="468"/>
      <c r="G26" s="465">
        <v>6563</v>
      </c>
      <c r="H26" s="465">
        <v>8325</v>
      </c>
      <c r="I26" s="465">
        <v>2112</v>
      </c>
      <c r="J26" s="465">
        <v>6782</v>
      </c>
      <c r="K26" s="466">
        <f t="shared" si="2"/>
        <v>7008.307786073441</v>
      </c>
      <c r="L26" s="462">
        <f t="shared" si="3"/>
        <v>1.0333688861801005</v>
      </c>
      <c r="M26" s="462">
        <f t="shared" si="4"/>
        <v>1.0333688861801005</v>
      </c>
    </row>
    <row r="27" spans="1:13" ht="21" customHeight="1" hidden="1">
      <c r="A27" s="460"/>
      <c r="B27" s="469" t="s">
        <v>305</v>
      </c>
      <c r="C27" s="468" t="s">
        <v>296</v>
      </c>
      <c r="D27" s="468"/>
      <c r="E27" s="468"/>
      <c r="F27" s="468"/>
      <c r="G27" s="465">
        <v>561</v>
      </c>
      <c r="H27" s="465">
        <v>1255</v>
      </c>
      <c r="I27" s="465">
        <v>87</v>
      </c>
      <c r="J27" s="465">
        <v>568</v>
      </c>
      <c r="K27" s="466">
        <f t="shared" si="2"/>
        <v>575.0873440285205</v>
      </c>
      <c r="L27" s="462">
        <f t="shared" si="3"/>
        <v>1.0124777183600713</v>
      </c>
      <c r="M27" s="462">
        <f t="shared" si="4"/>
        <v>1.0124777183600713</v>
      </c>
    </row>
    <row r="28" spans="1:13" ht="21" customHeight="1" hidden="1">
      <c r="A28" s="460"/>
      <c r="B28" s="469" t="s">
        <v>306</v>
      </c>
      <c r="C28" s="468" t="s">
        <v>296</v>
      </c>
      <c r="D28" s="468"/>
      <c r="E28" s="468"/>
      <c r="F28" s="468"/>
      <c r="G28" s="465">
        <v>1389</v>
      </c>
      <c r="H28" s="465">
        <v>1820</v>
      </c>
      <c r="I28" s="465">
        <v>450</v>
      </c>
      <c r="J28" s="465">
        <v>1402</v>
      </c>
      <c r="K28" s="466">
        <f t="shared" si="2"/>
        <v>1415.1216702663787</v>
      </c>
      <c r="L28" s="462">
        <f t="shared" si="3"/>
        <v>1.0093592512598992</v>
      </c>
      <c r="M28" s="462">
        <f t="shared" si="4"/>
        <v>1.0093592512598992</v>
      </c>
    </row>
    <row r="29" spans="1:13" ht="21" customHeight="1" hidden="1">
      <c r="A29" s="460"/>
      <c r="B29" s="470" t="s">
        <v>274</v>
      </c>
      <c r="C29" s="468"/>
      <c r="D29" s="468"/>
      <c r="E29" s="468"/>
      <c r="F29" s="468"/>
      <c r="G29" s="465"/>
      <c r="H29" s="465"/>
      <c r="I29" s="465"/>
      <c r="J29" s="465"/>
      <c r="K29" s="466"/>
      <c r="L29" s="462"/>
      <c r="M29" s="462"/>
    </row>
    <row r="30" spans="1:13" ht="21" customHeight="1" hidden="1">
      <c r="A30" s="460"/>
      <c r="B30" s="467" t="s">
        <v>297</v>
      </c>
      <c r="C30" s="468" t="s">
        <v>296</v>
      </c>
      <c r="D30" s="468"/>
      <c r="E30" s="468"/>
      <c r="F30" s="468"/>
      <c r="G30" s="465">
        <v>643850</v>
      </c>
      <c r="H30" s="465">
        <v>683350</v>
      </c>
      <c r="I30" s="465">
        <v>67052</v>
      </c>
      <c r="J30" s="465">
        <v>655853</v>
      </c>
      <c r="K30" s="466">
        <f>J30*L30</f>
        <v>668079.766419197</v>
      </c>
      <c r="L30" s="462">
        <f t="shared" si="3"/>
        <v>1.0186425409645103</v>
      </c>
      <c r="M30" s="462">
        <f t="shared" si="4"/>
        <v>1.0186425409645103</v>
      </c>
    </row>
    <row r="31" spans="1:13" ht="21" customHeight="1" hidden="1">
      <c r="A31" s="460"/>
      <c r="B31" s="467" t="s">
        <v>298</v>
      </c>
      <c r="C31" s="468" t="s">
        <v>296</v>
      </c>
      <c r="D31" s="468"/>
      <c r="E31" s="468"/>
      <c r="F31" s="468"/>
      <c r="G31" s="465">
        <v>2421</v>
      </c>
      <c r="H31" s="465">
        <v>1965</v>
      </c>
      <c r="I31" s="465">
        <v>0</v>
      </c>
      <c r="J31" s="465">
        <v>2456</v>
      </c>
      <c r="K31" s="466">
        <f aca="true" t="shared" si="5" ref="K31:K49">J31*L31</f>
        <v>2491.505989260636</v>
      </c>
      <c r="L31" s="462">
        <f t="shared" si="3"/>
        <v>1.0144568360181743</v>
      </c>
      <c r="M31" s="462">
        <f t="shared" si="4"/>
        <v>1.0144568360181743</v>
      </c>
    </row>
    <row r="32" spans="1:13" ht="21" customHeight="1" hidden="1">
      <c r="A32" s="460"/>
      <c r="B32" s="467" t="s">
        <v>295</v>
      </c>
      <c r="C32" s="468" t="s">
        <v>296</v>
      </c>
      <c r="D32" s="468"/>
      <c r="E32" s="468"/>
      <c r="F32" s="468"/>
      <c r="G32" s="465">
        <v>29</v>
      </c>
      <c r="H32" s="465">
        <v>10</v>
      </c>
      <c r="I32" s="465">
        <v>0</v>
      </c>
      <c r="J32" s="465">
        <v>29</v>
      </c>
      <c r="K32" s="466">
        <f t="shared" si="5"/>
        <v>29</v>
      </c>
      <c r="L32" s="462">
        <f t="shared" si="3"/>
        <v>1</v>
      </c>
      <c r="M32" s="462">
        <f t="shared" si="4"/>
        <v>1</v>
      </c>
    </row>
    <row r="33" spans="1:13" ht="21" customHeight="1" hidden="1">
      <c r="A33" s="460"/>
      <c r="B33" s="467" t="s">
        <v>276</v>
      </c>
      <c r="C33" s="471"/>
      <c r="D33" s="471"/>
      <c r="E33" s="471"/>
      <c r="F33" s="471"/>
      <c r="G33" s="465"/>
      <c r="H33" s="465"/>
      <c r="I33" s="465"/>
      <c r="J33" s="465"/>
      <c r="K33" s="466"/>
      <c r="L33" s="462"/>
      <c r="M33" s="462"/>
    </row>
    <row r="34" spans="1:13" ht="21" customHeight="1" hidden="1">
      <c r="A34" s="460"/>
      <c r="B34" s="467" t="s">
        <v>307</v>
      </c>
      <c r="C34" s="471" t="s">
        <v>296</v>
      </c>
      <c r="D34" s="471"/>
      <c r="E34" s="471"/>
      <c r="F34" s="471"/>
      <c r="G34" s="465">
        <v>34725</v>
      </c>
      <c r="H34" s="465">
        <v>35482</v>
      </c>
      <c r="I34" s="465">
        <v>12095</v>
      </c>
      <c r="J34" s="465">
        <v>35524</v>
      </c>
      <c r="K34" s="466">
        <f t="shared" si="5"/>
        <v>36341.38447804176</v>
      </c>
      <c r="L34" s="462">
        <f t="shared" si="3"/>
        <v>1.02300935925126</v>
      </c>
      <c r="M34" s="462">
        <f t="shared" si="4"/>
        <v>1.02300935925126</v>
      </c>
    </row>
    <row r="35" spans="1:13" s="533" customFormat="1" ht="21" customHeight="1" hidden="1">
      <c r="A35" s="460"/>
      <c r="B35" s="467" t="s">
        <v>299</v>
      </c>
      <c r="C35" s="471" t="s">
        <v>296</v>
      </c>
      <c r="D35" s="471"/>
      <c r="E35" s="471"/>
      <c r="F35" s="471"/>
      <c r="G35" s="465">
        <v>42534</v>
      </c>
      <c r="H35" s="465">
        <v>54002</v>
      </c>
      <c r="I35" s="465">
        <v>13631</v>
      </c>
      <c r="J35" s="465">
        <v>43869</v>
      </c>
      <c r="K35" s="466">
        <f t="shared" si="5"/>
        <v>45245.90118493441</v>
      </c>
      <c r="L35" s="462">
        <f t="shared" si="3"/>
        <v>1.0313866553815771</v>
      </c>
      <c r="M35" s="462">
        <f t="shared" si="4"/>
        <v>1.0313866553815771</v>
      </c>
    </row>
    <row r="36" spans="1:13" s="533" customFormat="1" ht="21" customHeight="1" hidden="1">
      <c r="A36" s="460"/>
      <c r="B36" s="467" t="s">
        <v>300</v>
      </c>
      <c r="C36" s="471" t="s">
        <v>296</v>
      </c>
      <c r="D36" s="471"/>
      <c r="E36" s="471"/>
      <c r="F36" s="471"/>
      <c r="G36" s="465">
        <v>45303</v>
      </c>
      <c r="H36" s="465">
        <v>52400</v>
      </c>
      <c r="I36" s="465">
        <v>44820</v>
      </c>
      <c r="J36" s="465">
        <v>45952</v>
      </c>
      <c r="K36" s="466">
        <f t="shared" si="5"/>
        <v>46610.29741959694</v>
      </c>
      <c r="L36" s="462">
        <f t="shared" si="3"/>
        <v>1.0143257620908108</v>
      </c>
      <c r="M36" s="462">
        <f t="shared" si="4"/>
        <v>1.0143257620908108</v>
      </c>
    </row>
    <row r="37" spans="1:13" s="533" customFormat="1" ht="21" customHeight="1" hidden="1">
      <c r="A37" s="460"/>
      <c r="B37" s="467" t="s">
        <v>301</v>
      </c>
      <c r="C37" s="471" t="s">
        <v>296</v>
      </c>
      <c r="D37" s="471"/>
      <c r="E37" s="471"/>
      <c r="F37" s="471"/>
      <c r="G37" s="465">
        <v>16290</v>
      </c>
      <c r="H37" s="465">
        <v>15354</v>
      </c>
      <c r="I37" s="465">
        <v>13886</v>
      </c>
      <c r="J37" s="465">
        <v>16312</v>
      </c>
      <c r="K37" s="466">
        <f t="shared" si="5"/>
        <v>16334.029711479436</v>
      </c>
      <c r="L37" s="462">
        <f t="shared" si="3"/>
        <v>1.0013505217925107</v>
      </c>
      <c r="M37" s="462">
        <f t="shared" si="4"/>
        <v>1.0013505217925107</v>
      </c>
    </row>
    <row r="38" spans="1:13" s="533" customFormat="1" ht="21" customHeight="1" hidden="1">
      <c r="A38" s="460"/>
      <c r="B38" s="467" t="s">
        <v>275</v>
      </c>
      <c r="C38" s="471"/>
      <c r="D38" s="471"/>
      <c r="E38" s="471"/>
      <c r="F38" s="471"/>
      <c r="G38" s="465"/>
      <c r="H38" s="465"/>
      <c r="I38" s="465"/>
      <c r="J38" s="465"/>
      <c r="K38" s="466"/>
      <c r="L38" s="462"/>
      <c r="M38" s="462"/>
    </row>
    <row r="39" spans="1:13" ht="21" customHeight="1" hidden="1">
      <c r="A39" s="460"/>
      <c r="B39" s="472" t="s">
        <v>997</v>
      </c>
      <c r="C39" s="468" t="s">
        <v>296</v>
      </c>
      <c r="D39" s="468"/>
      <c r="E39" s="468"/>
      <c r="F39" s="468"/>
      <c r="G39" s="465">
        <v>39987</v>
      </c>
      <c r="H39" s="465">
        <v>72680</v>
      </c>
      <c r="I39" s="465">
        <v>28840</v>
      </c>
      <c r="J39" s="465">
        <v>40187</v>
      </c>
      <c r="K39" s="466">
        <f t="shared" si="5"/>
        <v>40388.00032510566</v>
      </c>
      <c r="L39" s="462">
        <f t="shared" si="3"/>
        <v>1.0050016255282967</v>
      </c>
      <c r="M39" s="462">
        <f t="shared" si="4"/>
        <v>1.0050016255282967</v>
      </c>
    </row>
    <row r="40" spans="1:13" s="533" customFormat="1" ht="21" customHeight="1" hidden="1">
      <c r="A40" s="460"/>
      <c r="B40" s="472" t="s">
        <v>998</v>
      </c>
      <c r="C40" s="468" t="s">
        <v>296</v>
      </c>
      <c r="D40" s="468"/>
      <c r="E40" s="468"/>
      <c r="F40" s="468"/>
      <c r="G40" s="465">
        <v>700</v>
      </c>
      <c r="H40" s="465">
        <v>830</v>
      </c>
      <c r="I40" s="465">
        <v>450</v>
      </c>
      <c r="J40" s="465">
        <v>720</v>
      </c>
      <c r="K40" s="466">
        <f t="shared" si="5"/>
        <v>740.5714285714284</v>
      </c>
      <c r="L40" s="462">
        <f t="shared" si="3"/>
        <v>1.0285714285714285</v>
      </c>
      <c r="M40" s="462">
        <f t="shared" si="4"/>
        <v>1.0285714285714285</v>
      </c>
    </row>
    <row r="41" spans="1:13" s="533" customFormat="1" ht="21" customHeight="1" hidden="1">
      <c r="A41" s="460"/>
      <c r="B41" s="472" t="s">
        <v>999</v>
      </c>
      <c r="C41" s="468" t="s">
        <v>296</v>
      </c>
      <c r="D41" s="468"/>
      <c r="E41" s="468"/>
      <c r="F41" s="468"/>
      <c r="G41" s="465">
        <v>92032</v>
      </c>
      <c r="H41" s="465">
        <v>66720</v>
      </c>
      <c r="I41" s="465">
        <v>47194</v>
      </c>
      <c r="J41" s="465">
        <v>95156</v>
      </c>
      <c r="K41" s="466">
        <f t="shared" si="5"/>
        <v>98386.04328929068</v>
      </c>
      <c r="L41" s="462">
        <f t="shared" si="3"/>
        <v>1.0339447148817802</v>
      </c>
      <c r="M41" s="462">
        <f t="shared" si="4"/>
        <v>1.0339447148817802</v>
      </c>
    </row>
    <row r="42" spans="1:13" s="533" customFormat="1" ht="21" customHeight="1" hidden="1">
      <c r="A42" s="460"/>
      <c r="B42" s="472" t="s">
        <v>1000</v>
      </c>
      <c r="C42" s="468" t="s">
        <v>296</v>
      </c>
      <c r="D42" s="468"/>
      <c r="E42" s="468"/>
      <c r="F42" s="468"/>
      <c r="G42" s="465">
        <v>81949</v>
      </c>
      <c r="H42" s="465">
        <v>87530</v>
      </c>
      <c r="I42" s="465">
        <v>39620</v>
      </c>
      <c r="J42" s="465">
        <v>84750</v>
      </c>
      <c r="K42" s="466">
        <f t="shared" si="5"/>
        <v>87646.73760509584</v>
      </c>
      <c r="L42" s="462">
        <f t="shared" si="3"/>
        <v>1.0341797947503935</v>
      </c>
      <c r="M42" s="462">
        <f t="shared" si="4"/>
        <v>1.0341797947503935</v>
      </c>
    </row>
    <row r="43" spans="1:13" s="533" customFormat="1" ht="21" customHeight="1" hidden="1">
      <c r="A43" s="460"/>
      <c r="B43" s="472" t="s">
        <v>1001</v>
      </c>
      <c r="C43" s="468" t="s">
        <v>296</v>
      </c>
      <c r="D43" s="468"/>
      <c r="E43" s="468"/>
      <c r="F43" s="468"/>
      <c r="G43" s="465">
        <v>19781</v>
      </c>
      <c r="H43" s="465">
        <v>7060</v>
      </c>
      <c r="I43" s="465">
        <v>7618</v>
      </c>
      <c r="J43" s="465">
        <v>19978</v>
      </c>
      <c r="K43" s="466">
        <f t="shared" si="5"/>
        <v>20176.961933168193</v>
      </c>
      <c r="L43" s="462">
        <f t="shared" si="3"/>
        <v>1.0099590516151864</v>
      </c>
      <c r="M43" s="462">
        <f t="shared" si="4"/>
        <v>1.0099590516151864</v>
      </c>
    </row>
    <row r="44" spans="1:13" s="533" customFormat="1" ht="21" customHeight="1" hidden="1">
      <c r="A44" s="460"/>
      <c r="B44" s="472" t="s">
        <v>1002</v>
      </c>
      <c r="C44" s="468" t="s">
        <v>296</v>
      </c>
      <c r="D44" s="468"/>
      <c r="E44" s="468"/>
      <c r="F44" s="468"/>
      <c r="G44" s="465">
        <v>143121</v>
      </c>
      <c r="H44" s="465">
        <v>106230</v>
      </c>
      <c r="I44" s="465">
        <v>53286</v>
      </c>
      <c r="J44" s="465">
        <v>150332</v>
      </c>
      <c r="K44" s="466">
        <f t="shared" si="5"/>
        <v>157906.3185975503</v>
      </c>
      <c r="L44" s="462">
        <f t="shared" si="3"/>
        <v>1.0503839408612292</v>
      </c>
      <c r="M44" s="462">
        <f t="shared" si="4"/>
        <v>1.0503839408612292</v>
      </c>
    </row>
    <row r="45" spans="1:13" ht="21" customHeight="1" hidden="1">
      <c r="A45" s="460"/>
      <c r="B45" s="472" t="s">
        <v>1003</v>
      </c>
      <c r="C45" s="468" t="s">
        <v>296</v>
      </c>
      <c r="D45" s="468"/>
      <c r="E45" s="468"/>
      <c r="F45" s="468"/>
      <c r="G45" s="465">
        <v>28725</v>
      </c>
      <c r="H45" s="465">
        <v>26375</v>
      </c>
      <c r="I45" s="465">
        <v>5579</v>
      </c>
      <c r="J45" s="465">
        <v>28967</v>
      </c>
      <c r="K45" s="466">
        <f t="shared" si="5"/>
        <v>29211.038781549174</v>
      </c>
      <c r="L45" s="462">
        <f t="shared" si="3"/>
        <v>1.0084247171453438</v>
      </c>
      <c r="M45" s="462">
        <f t="shared" si="4"/>
        <v>1.0084247171453438</v>
      </c>
    </row>
    <row r="46" spans="1:13" ht="21" customHeight="1" hidden="1">
      <c r="A46" s="460"/>
      <c r="B46" s="472" t="s">
        <v>1004</v>
      </c>
      <c r="C46" s="468" t="s">
        <v>296</v>
      </c>
      <c r="D46" s="468"/>
      <c r="E46" s="468"/>
      <c r="F46" s="468"/>
      <c r="G46" s="465">
        <v>26441</v>
      </c>
      <c r="H46" s="465">
        <v>13140</v>
      </c>
      <c r="I46" s="465">
        <v>6010</v>
      </c>
      <c r="J46" s="465">
        <v>27234</v>
      </c>
      <c r="K46" s="466">
        <f t="shared" si="5"/>
        <v>28050.78310200068</v>
      </c>
      <c r="L46" s="462">
        <f t="shared" si="3"/>
        <v>1.029991301387996</v>
      </c>
      <c r="M46" s="462">
        <f t="shared" si="4"/>
        <v>1.029991301387996</v>
      </c>
    </row>
    <row r="47" spans="1:13" ht="21" customHeight="1" hidden="1">
      <c r="A47" s="460"/>
      <c r="B47" s="472" t="s">
        <v>1005</v>
      </c>
      <c r="C47" s="468" t="s">
        <v>296</v>
      </c>
      <c r="D47" s="468"/>
      <c r="E47" s="468"/>
      <c r="F47" s="468"/>
      <c r="G47" s="465">
        <v>2777</v>
      </c>
      <c r="H47" s="465">
        <v>1740</v>
      </c>
      <c r="I47" s="465">
        <v>1772</v>
      </c>
      <c r="J47" s="465">
        <v>2802</v>
      </c>
      <c r="K47" s="466">
        <f t="shared" si="5"/>
        <v>2827.2250630176445</v>
      </c>
      <c r="L47" s="462">
        <f t="shared" si="3"/>
        <v>1.0090025207057975</v>
      </c>
      <c r="M47" s="462">
        <f t="shared" si="4"/>
        <v>1.0090025207057975</v>
      </c>
    </row>
    <row r="48" spans="1:13" ht="21" customHeight="1" hidden="1">
      <c r="A48" s="460"/>
      <c r="B48" s="472" t="s">
        <v>1006</v>
      </c>
      <c r="C48" s="468" t="s">
        <v>296</v>
      </c>
      <c r="D48" s="468"/>
      <c r="E48" s="468"/>
      <c r="F48" s="468"/>
      <c r="G48" s="465">
        <v>8243</v>
      </c>
      <c r="H48" s="465">
        <v>9810</v>
      </c>
      <c r="I48" s="465">
        <v>4384</v>
      </c>
      <c r="J48" s="465">
        <v>8125</v>
      </c>
      <c r="K48" s="466">
        <f>J48*1.03</f>
        <v>8368.75</v>
      </c>
      <c r="L48" s="462">
        <f t="shared" si="3"/>
        <v>0.9856848234865947</v>
      </c>
      <c r="M48" s="462">
        <f t="shared" si="4"/>
        <v>1.03</v>
      </c>
    </row>
    <row r="49" spans="1:13" s="533" customFormat="1" ht="21" customHeight="1" hidden="1">
      <c r="A49" s="460"/>
      <c r="B49" s="472" t="s">
        <v>1007</v>
      </c>
      <c r="C49" s="468" t="s">
        <v>296</v>
      </c>
      <c r="D49" s="468"/>
      <c r="E49" s="468"/>
      <c r="F49" s="468"/>
      <c r="G49" s="465">
        <v>2691</v>
      </c>
      <c r="H49" s="465">
        <v>2780</v>
      </c>
      <c r="I49" s="465">
        <v>778</v>
      </c>
      <c r="J49" s="465">
        <v>2911</v>
      </c>
      <c r="K49" s="466">
        <f t="shared" si="5"/>
        <v>3148.985878855444</v>
      </c>
      <c r="L49" s="462">
        <f t="shared" si="3"/>
        <v>1.081753994797473</v>
      </c>
      <c r="M49" s="462">
        <f t="shared" si="4"/>
        <v>1.081753994797473</v>
      </c>
    </row>
    <row r="50" spans="1:13" s="527" customFormat="1" ht="21" customHeight="1" hidden="1">
      <c r="A50" s="453">
        <v>3</v>
      </c>
      <c r="B50" s="327" t="s">
        <v>1070</v>
      </c>
      <c r="C50" s="453"/>
      <c r="D50" s="453"/>
      <c r="E50" s="453"/>
      <c r="F50" s="453"/>
      <c r="G50" s="454"/>
      <c r="H50" s="454"/>
      <c r="I50" s="454"/>
      <c r="J50" s="454"/>
      <c r="K50" s="454"/>
      <c r="L50" s="454"/>
      <c r="M50" s="454"/>
    </row>
    <row r="51" spans="1:13" ht="32.25" customHeight="1" hidden="1">
      <c r="A51" s="460"/>
      <c r="B51" s="459" t="s">
        <v>210</v>
      </c>
      <c r="C51" s="473" t="s">
        <v>29</v>
      </c>
      <c r="D51" s="473"/>
      <c r="E51" s="473"/>
      <c r="F51" s="473"/>
      <c r="G51" s="474">
        <v>2.097</v>
      </c>
      <c r="H51" s="474">
        <v>1.118</v>
      </c>
      <c r="I51" s="474">
        <v>0.361</v>
      </c>
      <c r="J51" s="474">
        <v>1.793</v>
      </c>
      <c r="K51" s="475"/>
      <c r="L51" s="476"/>
      <c r="M51" s="239"/>
    </row>
    <row r="52" spans="1:13" ht="30" customHeight="1" hidden="1">
      <c r="A52" s="460"/>
      <c r="B52" s="459" t="s">
        <v>211</v>
      </c>
      <c r="C52" s="473" t="s">
        <v>29</v>
      </c>
      <c r="D52" s="473"/>
      <c r="E52" s="473"/>
      <c r="F52" s="473"/>
      <c r="G52" s="474">
        <v>0.283</v>
      </c>
      <c r="H52" s="477" t="s">
        <v>442</v>
      </c>
      <c r="I52" s="474">
        <v>0.074</v>
      </c>
      <c r="J52" s="474">
        <v>0.26</v>
      </c>
      <c r="K52" s="475"/>
      <c r="L52" s="478"/>
      <c r="M52" s="239"/>
    </row>
    <row r="53" spans="1:13" ht="27.75" customHeight="1" hidden="1">
      <c r="A53" s="460"/>
      <c r="B53" s="479" t="s">
        <v>191</v>
      </c>
      <c r="C53" s="480" t="s">
        <v>1040</v>
      </c>
      <c r="D53" s="480"/>
      <c r="E53" s="480"/>
      <c r="F53" s="480"/>
      <c r="G53" s="474">
        <v>29.76</v>
      </c>
      <c r="H53" s="474">
        <v>29.76</v>
      </c>
      <c r="I53" s="474"/>
      <c r="J53" s="474">
        <v>29.76</v>
      </c>
      <c r="K53" s="474">
        <v>29.76</v>
      </c>
      <c r="L53" s="476"/>
      <c r="M53" s="239"/>
    </row>
    <row r="54" spans="1:13" s="533" customFormat="1" ht="27.75" customHeight="1" hidden="1">
      <c r="A54" s="460"/>
      <c r="B54" s="459" t="s">
        <v>212</v>
      </c>
      <c r="C54" s="473" t="s">
        <v>213</v>
      </c>
      <c r="D54" s="473"/>
      <c r="E54" s="473"/>
      <c r="F54" s="473"/>
      <c r="G54" s="474">
        <v>154.839</v>
      </c>
      <c r="H54" s="474">
        <v>69.6</v>
      </c>
      <c r="I54" s="474">
        <v>57.938</v>
      </c>
      <c r="J54" s="474">
        <v>131.86</v>
      </c>
      <c r="K54" s="475"/>
      <c r="L54" s="476"/>
      <c r="M54" s="481"/>
    </row>
    <row r="55" spans="1:13" ht="30" customHeight="1" hidden="1">
      <c r="A55" s="460"/>
      <c r="B55" s="482" t="s">
        <v>30</v>
      </c>
      <c r="C55" s="473" t="s">
        <v>213</v>
      </c>
      <c r="D55" s="473"/>
      <c r="E55" s="473"/>
      <c r="F55" s="473"/>
      <c r="G55" s="474">
        <v>154.839</v>
      </c>
      <c r="H55" s="474">
        <v>69.6</v>
      </c>
      <c r="I55" s="474">
        <v>57.938</v>
      </c>
      <c r="J55" s="474">
        <v>131.86</v>
      </c>
      <c r="K55" s="475"/>
      <c r="L55" s="476"/>
      <c r="M55" s="239"/>
    </row>
    <row r="56" spans="1:13" s="527" customFormat="1" ht="21" customHeight="1" hidden="1">
      <c r="A56" s="453">
        <v>4</v>
      </c>
      <c r="B56" s="327" t="s">
        <v>1071</v>
      </c>
      <c r="C56" s="453"/>
      <c r="D56" s="453"/>
      <c r="E56" s="453"/>
      <c r="F56" s="453"/>
      <c r="G56" s="454"/>
      <c r="H56" s="454"/>
      <c r="I56" s="454"/>
      <c r="J56" s="454"/>
      <c r="K56" s="454"/>
      <c r="L56" s="454"/>
      <c r="M56" s="454"/>
    </row>
    <row r="57" spans="1:13" s="527" customFormat="1" ht="33.75" customHeight="1" hidden="1">
      <c r="A57" s="460"/>
      <c r="B57" s="479" t="s">
        <v>314</v>
      </c>
      <c r="C57" s="480" t="s">
        <v>337</v>
      </c>
      <c r="D57" s="480"/>
      <c r="E57" s="480"/>
      <c r="F57" s="480"/>
      <c r="G57" s="483">
        <v>0.197</v>
      </c>
      <c r="H57" s="483">
        <v>0.18</v>
      </c>
      <c r="I57" s="474">
        <v>0.101</v>
      </c>
      <c r="J57" s="474">
        <v>0.182</v>
      </c>
      <c r="K57" s="484">
        <f>J57*1.02</f>
        <v>0.18564</v>
      </c>
      <c r="L57" s="462">
        <f>J57/G57</f>
        <v>0.9238578680203045</v>
      </c>
      <c r="M57" s="462">
        <f>K57/J57</f>
        <v>1.02</v>
      </c>
    </row>
    <row r="58" spans="1:13" s="527" customFormat="1" ht="33.75" customHeight="1" hidden="1">
      <c r="A58" s="460"/>
      <c r="B58" s="485" t="s">
        <v>31</v>
      </c>
      <c r="C58" s="480" t="s">
        <v>337</v>
      </c>
      <c r="D58" s="480"/>
      <c r="E58" s="480"/>
      <c r="F58" s="480"/>
      <c r="G58" s="483">
        <v>5.326</v>
      </c>
      <c r="H58" s="483">
        <v>5.335</v>
      </c>
      <c r="I58" s="474">
        <v>3.477</v>
      </c>
      <c r="J58" s="474">
        <v>5.34</v>
      </c>
      <c r="K58" s="484">
        <f>J58*1.03</f>
        <v>5.5002</v>
      </c>
      <c r="L58" s="462">
        <f>J58/G58</f>
        <v>1.002628614344724</v>
      </c>
      <c r="M58" s="462">
        <f>K58/J58</f>
        <v>1.03</v>
      </c>
    </row>
    <row r="59" spans="1:13" s="527" customFormat="1" ht="33.75" customHeight="1" hidden="1">
      <c r="A59" s="460"/>
      <c r="B59" s="485" t="s">
        <v>315</v>
      </c>
      <c r="C59" s="480" t="s">
        <v>337</v>
      </c>
      <c r="D59" s="480"/>
      <c r="E59" s="480"/>
      <c r="F59" s="480"/>
      <c r="G59" s="483">
        <v>216.627</v>
      </c>
      <c r="H59" s="483">
        <v>180.23</v>
      </c>
      <c r="I59" s="474">
        <v>115.276</v>
      </c>
      <c r="J59" s="474">
        <v>225.402</v>
      </c>
      <c r="K59" s="484">
        <f>J59*1.04</f>
        <v>234.41808</v>
      </c>
      <c r="L59" s="462">
        <f>J59/G59</f>
        <v>1.040507415973078</v>
      </c>
      <c r="M59" s="462">
        <f>K59/J59</f>
        <v>1.04</v>
      </c>
    </row>
    <row r="60" spans="1:13" s="527" customFormat="1" ht="33.75" customHeight="1" hidden="1">
      <c r="A60" s="460"/>
      <c r="B60" s="485" t="s">
        <v>316</v>
      </c>
      <c r="C60" s="480" t="s">
        <v>337</v>
      </c>
      <c r="D60" s="480"/>
      <c r="E60" s="480"/>
      <c r="F60" s="480"/>
      <c r="G60" s="483">
        <v>47.738</v>
      </c>
      <c r="H60" s="483">
        <v>50.21</v>
      </c>
      <c r="I60" s="474">
        <v>27.07</v>
      </c>
      <c r="J60" s="474">
        <v>53.116</v>
      </c>
      <c r="K60" s="484">
        <f>J60*1.1</f>
        <v>58.427600000000005</v>
      </c>
      <c r="L60" s="462">
        <f>J60/G60</f>
        <v>1.1126565838535338</v>
      </c>
      <c r="M60" s="462">
        <f>K60/J60</f>
        <v>1.1</v>
      </c>
    </row>
    <row r="61" spans="1:13" s="532" customFormat="1" ht="36.75" customHeight="1" hidden="1">
      <c r="A61" s="486"/>
      <c r="B61" s="479" t="s">
        <v>157</v>
      </c>
      <c r="C61" s="480" t="s">
        <v>337</v>
      </c>
      <c r="D61" s="480"/>
      <c r="E61" s="480"/>
      <c r="F61" s="480"/>
      <c r="G61" s="474">
        <v>47.976</v>
      </c>
      <c r="H61" s="474">
        <v>47.5</v>
      </c>
      <c r="I61" s="474">
        <v>25.526</v>
      </c>
      <c r="J61" s="474">
        <v>49.591</v>
      </c>
      <c r="K61" s="484">
        <f>J61*1.04</f>
        <v>51.57464</v>
      </c>
      <c r="L61" s="462">
        <f>J61/G61</f>
        <v>1.0336626646656661</v>
      </c>
      <c r="M61" s="462">
        <f>K61/J61</f>
        <v>1.04</v>
      </c>
    </row>
    <row r="62" spans="1:13" s="532" customFormat="1" ht="18.75" customHeight="1" hidden="1">
      <c r="A62" s="486"/>
      <c r="B62" s="487" t="s">
        <v>1098</v>
      </c>
      <c r="C62" s="480"/>
      <c r="D62" s="480"/>
      <c r="E62" s="480"/>
      <c r="F62" s="480"/>
      <c r="G62" s="488"/>
      <c r="H62" s="488"/>
      <c r="I62" s="488"/>
      <c r="J62" s="488"/>
      <c r="K62" s="475"/>
      <c r="L62" s="476"/>
      <c r="M62" s="489"/>
    </row>
    <row r="63" spans="1:13" s="533" customFormat="1" ht="30" customHeight="1" hidden="1">
      <c r="A63" s="486"/>
      <c r="B63" s="479" t="s">
        <v>158</v>
      </c>
      <c r="C63" s="480" t="s">
        <v>337</v>
      </c>
      <c r="D63" s="480"/>
      <c r="E63" s="480"/>
      <c r="F63" s="480"/>
      <c r="G63" s="474">
        <v>42.037</v>
      </c>
      <c r="H63" s="474">
        <v>44.1</v>
      </c>
      <c r="I63" s="474">
        <v>22.262</v>
      </c>
      <c r="J63" s="474">
        <v>43.636</v>
      </c>
      <c r="K63" s="484">
        <f>J63*1.04</f>
        <v>45.381440000000005</v>
      </c>
      <c r="L63" s="462">
        <f>J63/G63</f>
        <v>1.0380379189761402</v>
      </c>
      <c r="M63" s="462">
        <f>K63/J63</f>
        <v>1.04</v>
      </c>
    </row>
    <row r="64" spans="1:13" ht="30" customHeight="1" hidden="1">
      <c r="A64" s="460"/>
      <c r="B64" s="490" t="s">
        <v>32</v>
      </c>
      <c r="C64" s="480" t="s">
        <v>337</v>
      </c>
      <c r="D64" s="480"/>
      <c r="E64" s="480"/>
      <c r="F64" s="480"/>
      <c r="G64" s="474">
        <v>4.804</v>
      </c>
      <c r="H64" s="474">
        <v>3.66</v>
      </c>
      <c r="I64" s="474">
        <v>2.458</v>
      </c>
      <c r="J64" s="474">
        <v>4.801</v>
      </c>
      <c r="K64" s="484">
        <f>J64*1.01</f>
        <v>4.84901</v>
      </c>
      <c r="L64" s="462">
        <f>J64/G64</f>
        <v>0.9993755203996669</v>
      </c>
      <c r="M64" s="462">
        <f>K64/J64</f>
        <v>1.01</v>
      </c>
    </row>
    <row r="65" spans="1:13" s="533" customFormat="1" ht="30" customHeight="1" hidden="1">
      <c r="A65" s="486"/>
      <c r="B65" s="479" t="s">
        <v>33</v>
      </c>
      <c r="C65" s="480" t="s">
        <v>337</v>
      </c>
      <c r="D65" s="480"/>
      <c r="E65" s="480"/>
      <c r="F65" s="480"/>
      <c r="G65" s="474">
        <v>5.939</v>
      </c>
      <c r="H65" s="474">
        <v>3.4</v>
      </c>
      <c r="I65" s="474">
        <v>3.264</v>
      </c>
      <c r="J65" s="474">
        <v>5.955</v>
      </c>
      <c r="K65" s="484">
        <f>J65*1.01</f>
        <v>6.01455</v>
      </c>
      <c r="L65" s="462">
        <f>J65/G65</f>
        <v>1.002694056238424</v>
      </c>
      <c r="M65" s="462">
        <f>K65/J65</f>
        <v>1.01</v>
      </c>
    </row>
    <row r="66" spans="1:13" s="527" customFormat="1" ht="21" customHeight="1">
      <c r="A66" s="453" t="s">
        <v>1066</v>
      </c>
      <c r="B66" s="327" t="s">
        <v>198</v>
      </c>
      <c r="C66" s="453"/>
      <c r="D66" s="453"/>
      <c r="E66" s="453"/>
      <c r="F66" s="453"/>
      <c r="G66" s="453"/>
      <c r="H66" s="453"/>
      <c r="I66" s="454"/>
      <c r="J66" s="454"/>
      <c r="K66" s="454"/>
      <c r="L66" s="454"/>
      <c r="M66" s="454"/>
    </row>
    <row r="67" spans="1:13" s="527" customFormat="1" ht="21" customHeight="1">
      <c r="A67" s="453"/>
      <c r="B67" s="327" t="s">
        <v>1009</v>
      </c>
      <c r="C67" s="453" t="s">
        <v>1038</v>
      </c>
      <c r="D67" s="455">
        <v>325690</v>
      </c>
      <c r="E67" s="455">
        <v>442538</v>
      </c>
      <c r="F67" s="455">
        <v>519982</v>
      </c>
      <c r="G67" s="138">
        <v>604219</v>
      </c>
      <c r="H67" s="138">
        <v>695000</v>
      </c>
      <c r="I67" s="138">
        <v>0</v>
      </c>
      <c r="J67" s="138">
        <v>707000</v>
      </c>
      <c r="K67" s="138">
        <v>834200</v>
      </c>
      <c r="L67" s="491">
        <f>J67/G67*100</f>
        <v>117.01055412027759</v>
      </c>
      <c r="M67" s="491">
        <f>K67/J67*100</f>
        <v>117.99151343705799</v>
      </c>
    </row>
    <row r="68" spans="1:13" s="527" customFormat="1" ht="21" customHeight="1">
      <c r="A68" s="453"/>
      <c r="B68" s="327" t="s">
        <v>1010</v>
      </c>
      <c r="C68" s="453" t="s">
        <v>1038</v>
      </c>
      <c r="D68" s="455">
        <v>102414</v>
      </c>
      <c r="E68" s="455">
        <v>120849</v>
      </c>
      <c r="F68" s="455">
        <v>141190</v>
      </c>
      <c r="G68" s="138">
        <v>160274</v>
      </c>
      <c r="H68" s="138">
        <v>181000</v>
      </c>
      <c r="I68" s="138">
        <v>0</v>
      </c>
      <c r="J68" s="138">
        <v>182750</v>
      </c>
      <c r="K68" s="138">
        <v>208330</v>
      </c>
      <c r="L68" s="491">
        <f>J68/G68*100</f>
        <v>114.0234847823103</v>
      </c>
      <c r="M68" s="491">
        <f>K68/J68*100</f>
        <v>113.99726402188783</v>
      </c>
    </row>
    <row r="69" spans="1:13" s="527" customFormat="1" ht="21" customHeight="1">
      <c r="A69" s="453"/>
      <c r="B69" s="327" t="s">
        <v>1011</v>
      </c>
      <c r="C69" s="453" t="s">
        <v>1038</v>
      </c>
      <c r="D69" s="455">
        <v>325690</v>
      </c>
      <c r="E69" s="455">
        <v>365184</v>
      </c>
      <c r="F69" s="455">
        <v>408359</v>
      </c>
      <c r="G69" s="138">
        <v>459016</v>
      </c>
      <c r="H69" s="138">
        <v>570000</v>
      </c>
      <c r="I69" s="138">
        <v>0</v>
      </c>
      <c r="J69" s="138">
        <f>G69*1.134</f>
        <v>520524.144</v>
      </c>
      <c r="K69" s="138">
        <v>591000</v>
      </c>
      <c r="L69" s="491">
        <f>J69/G69*100</f>
        <v>113.39999999999999</v>
      </c>
      <c r="M69" s="491">
        <f>K69/J69*100</f>
        <v>113.53940193022056</v>
      </c>
    </row>
    <row r="70" spans="1:13" s="527" customFormat="1" ht="33" customHeight="1">
      <c r="A70" s="453">
        <v>1</v>
      </c>
      <c r="B70" s="492" t="s">
        <v>278</v>
      </c>
      <c r="C70" s="493" t="s">
        <v>1040</v>
      </c>
      <c r="D70" s="493"/>
      <c r="E70" s="493"/>
      <c r="F70" s="493"/>
      <c r="G70" s="494">
        <v>107.55</v>
      </c>
      <c r="H70" s="814">
        <v>107.5</v>
      </c>
      <c r="I70" s="494">
        <v>107.76</v>
      </c>
      <c r="J70" s="494">
        <v>107.9</v>
      </c>
      <c r="K70" s="495">
        <v>108</v>
      </c>
      <c r="L70" s="495"/>
      <c r="M70" s="454"/>
    </row>
    <row r="71" spans="1:13" s="533" customFormat="1" ht="21" customHeight="1">
      <c r="A71" s="496"/>
      <c r="B71" s="479" t="s">
        <v>207</v>
      </c>
      <c r="C71" s="493"/>
      <c r="D71" s="493"/>
      <c r="E71" s="493"/>
      <c r="F71" s="493"/>
      <c r="G71" s="474">
        <v>80.19</v>
      </c>
      <c r="H71" s="477" t="s">
        <v>442</v>
      </c>
      <c r="I71" s="474">
        <v>116.16</v>
      </c>
      <c r="J71" s="474">
        <v>116.5</v>
      </c>
      <c r="K71" s="497">
        <v>116</v>
      </c>
      <c r="L71" s="497"/>
      <c r="M71" s="481"/>
    </row>
    <row r="72" spans="1:13" s="532" customFormat="1" ht="21" customHeight="1">
      <c r="A72" s="498"/>
      <c r="B72" s="459" t="s">
        <v>197</v>
      </c>
      <c r="C72" s="493" t="s">
        <v>1040</v>
      </c>
      <c r="D72" s="493"/>
      <c r="E72" s="493"/>
      <c r="F72" s="493"/>
      <c r="G72" s="474">
        <v>108.11</v>
      </c>
      <c r="H72" s="477" t="s">
        <v>442</v>
      </c>
      <c r="I72" s="474">
        <v>107.61</v>
      </c>
      <c r="J72" s="474">
        <v>107.7</v>
      </c>
      <c r="K72" s="497">
        <v>107.9</v>
      </c>
      <c r="L72" s="497"/>
      <c r="M72" s="489"/>
    </row>
    <row r="73" spans="1:13" s="533" customFormat="1" ht="32.25" customHeight="1">
      <c r="A73" s="460"/>
      <c r="B73" s="459" t="s">
        <v>208</v>
      </c>
      <c r="C73" s="493" t="s">
        <v>1040</v>
      </c>
      <c r="D73" s="493"/>
      <c r="E73" s="493"/>
      <c r="F73" s="493"/>
      <c r="G73" s="474">
        <v>103.23</v>
      </c>
      <c r="H73" s="477" t="s">
        <v>442</v>
      </c>
      <c r="I73" s="474">
        <v>107.42</v>
      </c>
      <c r="J73" s="474">
        <v>107.8</v>
      </c>
      <c r="K73" s="497">
        <v>107.9</v>
      </c>
      <c r="L73" s="497"/>
      <c r="M73" s="481"/>
    </row>
    <row r="74" spans="1:13" s="532" customFormat="1" ht="31.5">
      <c r="A74" s="458"/>
      <c r="B74" s="459" t="s">
        <v>209</v>
      </c>
      <c r="C74" s="493" t="s">
        <v>1040</v>
      </c>
      <c r="D74" s="493"/>
      <c r="E74" s="493"/>
      <c r="F74" s="493"/>
      <c r="G74" s="474">
        <v>106.5</v>
      </c>
      <c r="H74" s="477" t="s">
        <v>442</v>
      </c>
      <c r="I74" s="474">
        <v>107.18</v>
      </c>
      <c r="J74" s="474">
        <v>107.5</v>
      </c>
      <c r="K74" s="497">
        <v>107.8</v>
      </c>
      <c r="L74" s="497"/>
      <c r="M74" s="489"/>
    </row>
    <row r="75" spans="1:13" s="527" customFormat="1" ht="25.5" customHeight="1">
      <c r="A75" s="453"/>
      <c r="B75" s="327" t="s">
        <v>279</v>
      </c>
      <c r="C75" s="499"/>
      <c r="D75" s="499"/>
      <c r="E75" s="499"/>
      <c r="F75" s="499"/>
      <c r="G75" s="494"/>
      <c r="H75" s="494"/>
      <c r="I75" s="494"/>
      <c r="J75" s="494"/>
      <c r="K75" s="475"/>
      <c r="L75" s="475"/>
      <c r="M75" s="454"/>
    </row>
    <row r="76" spans="1:13" ht="18" customHeight="1">
      <c r="A76" s="463"/>
      <c r="B76" s="485" t="s">
        <v>317</v>
      </c>
      <c r="C76" s="493" t="s">
        <v>318</v>
      </c>
      <c r="D76" s="493"/>
      <c r="E76" s="493"/>
      <c r="F76" s="493"/>
      <c r="G76" s="500">
        <v>2070</v>
      </c>
      <c r="H76" s="500">
        <v>2005.9249999999997</v>
      </c>
      <c r="I76" s="500">
        <v>1100</v>
      </c>
      <c r="J76" s="500">
        <v>2320</v>
      </c>
      <c r="K76" s="466">
        <f>J76*1.12</f>
        <v>2598.4</v>
      </c>
      <c r="L76" s="462">
        <f>J76/G76</f>
        <v>1.1207729468599035</v>
      </c>
      <c r="M76" s="462">
        <f>K76/J76</f>
        <v>1.12</v>
      </c>
    </row>
    <row r="77" spans="1:13" ht="18" customHeight="1">
      <c r="A77" s="463"/>
      <c r="B77" s="485" t="s">
        <v>319</v>
      </c>
      <c r="C77" s="493" t="s">
        <v>296</v>
      </c>
      <c r="D77" s="493"/>
      <c r="E77" s="493"/>
      <c r="F77" s="493"/>
      <c r="G77" s="500">
        <v>339760</v>
      </c>
      <c r="H77" s="500">
        <v>382900</v>
      </c>
      <c r="I77" s="500">
        <v>175600</v>
      </c>
      <c r="J77" s="500">
        <v>361500</v>
      </c>
      <c r="K77" s="466">
        <f>J77*1.065</f>
        <v>384997.5</v>
      </c>
      <c r="L77" s="462">
        <f aca="true" t="shared" si="6" ref="L77:L111">J77/G77</f>
        <v>1.0639863433011538</v>
      </c>
      <c r="M77" s="462">
        <f aca="true" t="shared" si="7" ref="M77:M111">K77/J77</f>
        <v>1.065</v>
      </c>
    </row>
    <row r="78" spans="1:13" ht="18" customHeight="1">
      <c r="A78" s="463"/>
      <c r="B78" s="485" t="s">
        <v>320</v>
      </c>
      <c r="C78" s="493" t="s">
        <v>321</v>
      </c>
      <c r="D78" s="493"/>
      <c r="E78" s="493"/>
      <c r="F78" s="493"/>
      <c r="G78" s="500">
        <v>235240</v>
      </c>
      <c r="H78" s="500">
        <v>252000</v>
      </c>
      <c r="I78" s="500">
        <v>128500</v>
      </c>
      <c r="J78" s="500">
        <v>258500</v>
      </c>
      <c r="K78" s="466">
        <f>J78*1.1</f>
        <v>284350</v>
      </c>
      <c r="L78" s="462">
        <f t="shared" si="6"/>
        <v>1.0988777418806326</v>
      </c>
      <c r="M78" s="462">
        <f t="shared" si="7"/>
        <v>1.1</v>
      </c>
    </row>
    <row r="79" spans="1:13" s="533" customFormat="1" ht="18" customHeight="1">
      <c r="A79" s="463"/>
      <c r="B79" s="485" t="s">
        <v>322</v>
      </c>
      <c r="C79" s="493" t="s">
        <v>323</v>
      </c>
      <c r="D79" s="493"/>
      <c r="E79" s="493"/>
      <c r="F79" s="493"/>
      <c r="G79" s="500">
        <v>1650</v>
      </c>
      <c r="H79" s="500">
        <v>1780</v>
      </c>
      <c r="I79" s="500">
        <v>900</v>
      </c>
      <c r="J79" s="500">
        <v>1890</v>
      </c>
      <c r="K79" s="466">
        <f>J79*1.14</f>
        <v>2154.6</v>
      </c>
      <c r="L79" s="462">
        <f t="shared" si="6"/>
        <v>1.1454545454545455</v>
      </c>
      <c r="M79" s="462">
        <f t="shared" si="7"/>
        <v>1.14</v>
      </c>
    </row>
    <row r="80" spans="1:13" s="533" customFormat="1" ht="18" customHeight="1">
      <c r="A80" s="463"/>
      <c r="B80" s="485" t="s">
        <v>324</v>
      </c>
      <c r="C80" s="493" t="s">
        <v>325</v>
      </c>
      <c r="D80" s="493"/>
      <c r="E80" s="493"/>
      <c r="F80" s="493"/>
      <c r="G80" s="500">
        <v>894680</v>
      </c>
      <c r="H80" s="500">
        <v>1041299.5764705883</v>
      </c>
      <c r="I80" s="500">
        <v>489500</v>
      </c>
      <c r="J80" s="500">
        <v>990700</v>
      </c>
      <c r="K80" s="466">
        <f>J80*1.1</f>
        <v>1089770</v>
      </c>
      <c r="L80" s="462">
        <f t="shared" si="6"/>
        <v>1.1073232887736397</v>
      </c>
      <c r="M80" s="462">
        <f t="shared" si="7"/>
        <v>1.1</v>
      </c>
    </row>
    <row r="81" spans="1:13" ht="18" customHeight="1">
      <c r="A81" s="463"/>
      <c r="B81" s="485" t="s">
        <v>326</v>
      </c>
      <c r="C81" s="493" t="s">
        <v>296</v>
      </c>
      <c r="D81" s="493"/>
      <c r="E81" s="493"/>
      <c r="F81" s="493"/>
      <c r="G81" s="500">
        <v>123560</v>
      </c>
      <c r="H81" s="500">
        <v>140900</v>
      </c>
      <c r="I81" s="500">
        <v>67540</v>
      </c>
      <c r="J81" s="500">
        <v>142000</v>
      </c>
      <c r="K81" s="466">
        <f>J81*1.15</f>
        <v>163300</v>
      </c>
      <c r="L81" s="462">
        <f t="shared" si="6"/>
        <v>1.1492392359987051</v>
      </c>
      <c r="M81" s="462">
        <f t="shared" si="7"/>
        <v>1.15</v>
      </c>
    </row>
    <row r="82" spans="1:13" ht="18" customHeight="1">
      <c r="A82" s="463"/>
      <c r="B82" s="485" t="s">
        <v>327</v>
      </c>
      <c r="C82" s="493" t="s">
        <v>328</v>
      </c>
      <c r="D82" s="493"/>
      <c r="E82" s="493"/>
      <c r="F82" s="493"/>
      <c r="G82" s="500">
        <v>524170</v>
      </c>
      <c r="H82" s="500">
        <v>557800</v>
      </c>
      <c r="I82" s="500">
        <v>237300</v>
      </c>
      <c r="J82" s="500">
        <v>550080</v>
      </c>
      <c r="K82" s="466">
        <f>J82*1.05</f>
        <v>577584</v>
      </c>
      <c r="L82" s="462">
        <f t="shared" si="6"/>
        <v>1.0494305282637313</v>
      </c>
      <c r="M82" s="462">
        <f t="shared" si="7"/>
        <v>1.05</v>
      </c>
    </row>
    <row r="83" spans="1:13" ht="18" customHeight="1">
      <c r="A83" s="463"/>
      <c r="B83" s="485" t="s">
        <v>329</v>
      </c>
      <c r="C83" s="493" t="s">
        <v>328</v>
      </c>
      <c r="D83" s="493"/>
      <c r="E83" s="493"/>
      <c r="F83" s="493"/>
      <c r="G83" s="500">
        <v>21140</v>
      </c>
      <c r="H83" s="500">
        <v>23710</v>
      </c>
      <c r="I83" s="500">
        <v>11600</v>
      </c>
      <c r="J83" s="500">
        <v>24100</v>
      </c>
      <c r="K83" s="466">
        <f>J83*1.14</f>
        <v>27473.999999999996</v>
      </c>
      <c r="L83" s="462">
        <f t="shared" si="6"/>
        <v>1.1400189214758751</v>
      </c>
      <c r="M83" s="462">
        <f t="shared" si="7"/>
        <v>1.14</v>
      </c>
    </row>
    <row r="84" spans="1:13" ht="18" customHeight="1">
      <c r="A84" s="463"/>
      <c r="B84" s="485" t="s">
        <v>330</v>
      </c>
      <c r="C84" s="493" t="s">
        <v>34</v>
      </c>
      <c r="D84" s="493"/>
      <c r="E84" s="493"/>
      <c r="F84" s="493"/>
      <c r="G84" s="500">
        <v>26360</v>
      </c>
      <c r="H84" s="500">
        <v>29100</v>
      </c>
      <c r="I84" s="500">
        <v>14480</v>
      </c>
      <c r="J84" s="500">
        <v>28400</v>
      </c>
      <c r="K84" s="466">
        <f>J84*1.08</f>
        <v>30672.000000000004</v>
      </c>
      <c r="L84" s="462">
        <f t="shared" si="6"/>
        <v>1.077389984825493</v>
      </c>
      <c r="M84" s="462">
        <f t="shared" si="7"/>
        <v>1.08</v>
      </c>
    </row>
    <row r="85" spans="1:13" s="533" customFormat="1" ht="18" customHeight="1">
      <c r="A85" s="463"/>
      <c r="B85" s="485" t="s">
        <v>331</v>
      </c>
      <c r="C85" s="493" t="s">
        <v>296</v>
      </c>
      <c r="D85" s="493"/>
      <c r="E85" s="493"/>
      <c r="F85" s="493"/>
      <c r="G85" s="500">
        <v>142400</v>
      </c>
      <c r="H85" s="500">
        <v>99750</v>
      </c>
      <c r="I85" s="500">
        <v>61600</v>
      </c>
      <c r="J85" s="500">
        <v>125400</v>
      </c>
      <c r="K85" s="466">
        <f>J85*1.05</f>
        <v>131670</v>
      </c>
      <c r="L85" s="462">
        <f t="shared" si="6"/>
        <v>0.8806179775280899</v>
      </c>
      <c r="M85" s="462">
        <f t="shared" si="7"/>
        <v>1.05</v>
      </c>
    </row>
    <row r="86" spans="1:13" ht="18" customHeight="1">
      <c r="A86" s="463"/>
      <c r="B86" s="485" t="s">
        <v>332</v>
      </c>
      <c r="C86" s="493" t="s">
        <v>35</v>
      </c>
      <c r="D86" s="493"/>
      <c r="E86" s="493"/>
      <c r="F86" s="493"/>
      <c r="G86" s="500">
        <v>5700</v>
      </c>
      <c r="H86" s="500">
        <v>5900</v>
      </c>
      <c r="I86" s="500">
        <v>3150</v>
      </c>
      <c r="J86" s="500">
        <v>6800</v>
      </c>
      <c r="K86" s="466">
        <f>J86*1.015</f>
        <v>6901.999999999999</v>
      </c>
      <c r="L86" s="462">
        <f t="shared" si="6"/>
        <v>1.1929824561403508</v>
      </c>
      <c r="M86" s="462">
        <f t="shared" si="7"/>
        <v>1.015</v>
      </c>
    </row>
    <row r="87" spans="1:13" ht="18" customHeight="1">
      <c r="A87" s="463"/>
      <c r="B87" s="485" t="s">
        <v>333</v>
      </c>
      <c r="C87" s="493" t="s">
        <v>334</v>
      </c>
      <c r="D87" s="493"/>
      <c r="E87" s="493"/>
      <c r="F87" s="493"/>
      <c r="G87" s="500">
        <v>238928</v>
      </c>
      <c r="H87" s="500">
        <v>319700</v>
      </c>
      <c r="I87" s="500">
        <v>125000</v>
      </c>
      <c r="J87" s="500">
        <v>251500</v>
      </c>
      <c r="K87" s="466">
        <f>J87*1.08</f>
        <v>271620</v>
      </c>
      <c r="L87" s="462">
        <f t="shared" si="6"/>
        <v>1.0526183620170093</v>
      </c>
      <c r="M87" s="462">
        <f t="shared" si="7"/>
        <v>1.08</v>
      </c>
    </row>
    <row r="88" spans="1:13" ht="18" customHeight="1">
      <c r="A88" s="463"/>
      <c r="B88" s="485" t="s">
        <v>335</v>
      </c>
      <c r="C88" s="493" t="s">
        <v>296</v>
      </c>
      <c r="D88" s="493"/>
      <c r="E88" s="493"/>
      <c r="F88" s="493"/>
      <c r="G88" s="500">
        <v>35250</v>
      </c>
      <c r="H88" s="500">
        <v>43600</v>
      </c>
      <c r="I88" s="500">
        <v>19300</v>
      </c>
      <c r="J88" s="500">
        <v>41250</v>
      </c>
      <c r="K88" s="466">
        <f>J88*1.15</f>
        <v>47437.49999999999</v>
      </c>
      <c r="L88" s="462">
        <f t="shared" si="6"/>
        <v>1.1702127659574468</v>
      </c>
      <c r="M88" s="462">
        <f t="shared" si="7"/>
        <v>1.15</v>
      </c>
    </row>
    <row r="89" spans="1:13" ht="18" customHeight="1">
      <c r="A89" s="463"/>
      <c r="B89" s="485" t="s">
        <v>336</v>
      </c>
      <c r="C89" s="493" t="s">
        <v>337</v>
      </c>
      <c r="D89" s="493"/>
      <c r="E89" s="493"/>
      <c r="F89" s="493"/>
      <c r="G89" s="500">
        <v>260</v>
      </c>
      <c r="H89" s="500">
        <v>300</v>
      </c>
      <c r="I89" s="500">
        <v>132</v>
      </c>
      <c r="J89" s="500">
        <v>258</v>
      </c>
      <c r="K89" s="466">
        <f>J89*1.05</f>
        <v>270.90000000000003</v>
      </c>
      <c r="L89" s="462">
        <f t="shared" si="6"/>
        <v>0.9923076923076923</v>
      </c>
      <c r="M89" s="462">
        <f t="shared" si="7"/>
        <v>1.05</v>
      </c>
    </row>
    <row r="90" spans="1:13" ht="18" customHeight="1">
      <c r="A90" s="463"/>
      <c r="B90" s="485" t="s">
        <v>338</v>
      </c>
      <c r="C90" s="493" t="s">
        <v>334</v>
      </c>
      <c r="D90" s="493"/>
      <c r="E90" s="493"/>
      <c r="F90" s="493"/>
      <c r="G90" s="500">
        <v>54890</v>
      </c>
      <c r="H90" s="500">
        <v>59500</v>
      </c>
      <c r="I90" s="500">
        <v>30000</v>
      </c>
      <c r="J90" s="500">
        <v>57211</v>
      </c>
      <c r="K90" s="466">
        <f>J90*1.045</f>
        <v>59785.494999999995</v>
      </c>
      <c r="L90" s="462">
        <f t="shared" si="6"/>
        <v>1.0422845691382765</v>
      </c>
      <c r="M90" s="462">
        <f t="shared" si="7"/>
        <v>1.045</v>
      </c>
    </row>
    <row r="91" spans="1:13" ht="18" customHeight="1">
      <c r="A91" s="463"/>
      <c r="B91" s="485" t="s">
        <v>339</v>
      </c>
      <c r="C91" s="493" t="s">
        <v>36</v>
      </c>
      <c r="D91" s="493"/>
      <c r="E91" s="493"/>
      <c r="F91" s="493"/>
      <c r="G91" s="500">
        <v>9440</v>
      </c>
      <c r="H91" s="500">
        <v>6500</v>
      </c>
      <c r="I91" s="500">
        <v>5160</v>
      </c>
      <c r="J91" s="500">
        <v>11500</v>
      </c>
      <c r="K91" s="466">
        <f>J91*1.18</f>
        <v>13570</v>
      </c>
      <c r="L91" s="462">
        <f t="shared" si="6"/>
        <v>1.2182203389830508</v>
      </c>
      <c r="M91" s="462">
        <f t="shared" si="7"/>
        <v>1.18</v>
      </c>
    </row>
    <row r="92" spans="1:13" ht="18" customHeight="1">
      <c r="A92" s="463"/>
      <c r="B92" s="485" t="s">
        <v>340</v>
      </c>
      <c r="C92" s="493" t="s">
        <v>323</v>
      </c>
      <c r="D92" s="493"/>
      <c r="E92" s="493"/>
      <c r="F92" s="493"/>
      <c r="G92" s="500">
        <v>41520</v>
      </c>
      <c r="H92" s="500">
        <v>46900</v>
      </c>
      <c r="I92" s="500">
        <v>22700</v>
      </c>
      <c r="J92" s="500">
        <v>45000</v>
      </c>
      <c r="K92" s="466">
        <f>J92*1.08</f>
        <v>48600</v>
      </c>
      <c r="L92" s="462">
        <f t="shared" si="6"/>
        <v>1.083815028901734</v>
      </c>
      <c r="M92" s="462">
        <f t="shared" si="7"/>
        <v>1.08</v>
      </c>
    </row>
    <row r="93" spans="1:13" ht="18" customHeight="1">
      <c r="A93" s="463"/>
      <c r="B93" s="485" t="s">
        <v>341</v>
      </c>
      <c r="C93" s="493" t="s">
        <v>296</v>
      </c>
      <c r="D93" s="493"/>
      <c r="E93" s="493"/>
      <c r="F93" s="493"/>
      <c r="G93" s="500">
        <v>289790</v>
      </c>
      <c r="H93" s="500">
        <v>327500</v>
      </c>
      <c r="I93" s="500">
        <v>158500</v>
      </c>
      <c r="J93" s="500">
        <v>315000</v>
      </c>
      <c r="K93" s="466">
        <f>J93*1.088</f>
        <v>342720</v>
      </c>
      <c r="L93" s="462">
        <f t="shared" si="6"/>
        <v>1.086994030159771</v>
      </c>
      <c r="M93" s="462">
        <f t="shared" si="7"/>
        <v>1.088</v>
      </c>
    </row>
    <row r="94" spans="1:13" ht="18" customHeight="1">
      <c r="A94" s="463"/>
      <c r="B94" s="485" t="s">
        <v>342</v>
      </c>
      <c r="C94" s="493" t="s">
        <v>35</v>
      </c>
      <c r="D94" s="493"/>
      <c r="E94" s="493"/>
      <c r="F94" s="493"/>
      <c r="G94" s="500">
        <v>2560</v>
      </c>
      <c r="H94" s="500">
        <v>2550</v>
      </c>
      <c r="I94" s="500">
        <v>1300</v>
      </c>
      <c r="J94" s="500">
        <v>2700</v>
      </c>
      <c r="K94" s="466">
        <f>J94*1.06</f>
        <v>2862</v>
      </c>
      <c r="L94" s="462">
        <f t="shared" si="6"/>
        <v>1.0546875</v>
      </c>
      <c r="M94" s="462">
        <f t="shared" si="7"/>
        <v>1.06</v>
      </c>
    </row>
    <row r="95" spans="1:13" ht="18" customHeight="1">
      <c r="A95" s="463"/>
      <c r="B95" s="485" t="s">
        <v>343</v>
      </c>
      <c r="C95" s="493" t="s">
        <v>35</v>
      </c>
      <c r="D95" s="493"/>
      <c r="E95" s="493"/>
      <c r="F95" s="493"/>
      <c r="G95" s="500">
        <v>93260</v>
      </c>
      <c r="H95" s="500">
        <v>91000</v>
      </c>
      <c r="I95" s="500">
        <v>49500</v>
      </c>
      <c r="J95" s="500">
        <v>100000</v>
      </c>
      <c r="K95" s="466">
        <f>J95*1.07</f>
        <v>107000</v>
      </c>
      <c r="L95" s="462">
        <f t="shared" si="6"/>
        <v>1.072271070126528</v>
      </c>
      <c r="M95" s="462">
        <f t="shared" si="7"/>
        <v>1.07</v>
      </c>
    </row>
    <row r="96" spans="1:13" ht="18" customHeight="1">
      <c r="A96" s="463"/>
      <c r="B96" s="485" t="s">
        <v>344</v>
      </c>
      <c r="C96" s="493" t="s">
        <v>345</v>
      </c>
      <c r="D96" s="493"/>
      <c r="E96" s="493"/>
      <c r="F96" s="493"/>
      <c r="G96" s="500">
        <v>536000</v>
      </c>
      <c r="H96" s="500">
        <v>629200</v>
      </c>
      <c r="I96" s="500">
        <v>272700</v>
      </c>
      <c r="J96" s="500">
        <v>553000</v>
      </c>
      <c r="K96" s="466">
        <f>J96*1.04</f>
        <v>575120</v>
      </c>
      <c r="L96" s="462">
        <f t="shared" si="6"/>
        <v>1.0317164179104477</v>
      </c>
      <c r="M96" s="462">
        <f t="shared" si="7"/>
        <v>1.04</v>
      </c>
    </row>
    <row r="97" spans="1:13" ht="18" customHeight="1">
      <c r="A97" s="463"/>
      <c r="B97" s="485" t="s">
        <v>346</v>
      </c>
      <c r="C97" s="493" t="s">
        <v>296</v>
      </c>
      <c r="D97" s="493"/>
      <c r="E97" s="493"/>
      <c r="F97" s="493"/>
      <c r="G97" s="500">
        <v>301244</v>
      </c>
      <c r="H97" s="500">
        <v>265000</v>
      </c>
      <c r="I97" s="500">
        <v>145300</v>
      </c>
      <c r="J97" s="500">
        <v>320600</v>
      </c>
      <c r="K97" s="466">
        <f>J97*1.065</f>
        <v>341439</v>
      </c>
      <c r="L97" s="462">
        <f t="shared" si="6"/>
        <v>1.0642535618966684</v>
      </c>
      <c r="M97" s="462">
        <f t="shared" si="7"/>
        <v>1.065</v>
      </c>
    </row>
    <row r="98" spans="1:13" ht="18" customHeight="1">
      <c r="A98" s="463"/>
      <c r="B98" s="485" t="s">
        <v>347</v>
      </c>
      <c r="C98" s="493" t="s">
        <v>348</v>
      </c>
      <c r="D98" s="493"/>
      <c r="E98" s="493"/>
      <c r="F98" s="493"/>
      <c r="G98" s="500">
        <v>5660</v>
      </c>
      <c r="H98" s="500">
        <v>6000</v>
      </c>
      <c r="I98" s="500">
        <v>3100</v>
      </c>
      <c r="J98" s="500">
        <v>6500</v>
      </c>
      <c r="K98" s="466">
        <f>J98*1.15</f>
        <v>7474.999999999999</v>
      </c>
      <c r="L98" s="462">
        <f t="shared" si="6"/>
        <v>1.1484098939929328</v>
      </c>
      <c r="M98" s="462">
        <f t="shared" si="7"/>
        <v>1.15</v>
      </c>
    </row>
    <row r="99" spans="1:13" ht="18" customHeight="1">
      <c r="A99" s="463"/>
      <c r="B99" s="485" t="s">
        <v>349</v>
      </c>
      <c r="C99" s="493" t="s">
        <v>36</v>
      </c>
      <c r="D99" s="493"/>
      <c r="E99" s="493"/>
      <c r="F99" s="493"/>
      <c r="G99" s="500">
        <v>100010</v>
      </c>
      <c r="H99" s="500">
        <v>110500</v>
      </c>
      <c r="I99" s="500">
        <v>54700</v>
      </c>
      <c r="J99" s="500">
        <v>110000</v>
      </c>
      <c r="K99" s="466">
        <f>J99*1.1</f>
        <v>121000.00000000001</v>
      </c>
      <c r="L99" s="462">
        <f t="shared" si="6"/>
        <v>1.0998900109989</v>
      </c>
      <c r="M99" s="462">
        <f t="shared" si="7"/>
        <v>1.1</v>
      </c>
    </row>
    <row r="100" spans="1:13" ht="18" customHeight="1">
      <c r="A100" s="463"/>
      <c r="B100" s="485" t="s">
        <v>350</v>
      </c>
      <c r="C100" s="493" t="s">
        <v>337</v>
      </c>
      <c r="D100" s="493"/>
      <c r="E100" s="493"/>
      <c r="F100" s="493"/>
      <c r="G100" s="500">
        <v>5190</v>
      </c>
      <c r="H100" s="500">
        <v>4871.999999999999</v>
      </c>
      <c r="I100" s="500">
        <v>2640</v>
      </c>
      <c r="J100" s="500">
        <v>5181</v>
      </c>
      <c r="K100" s="466">
        <f>J100*1.05</f>
        <v>5440.05</v>
      </c>
      <c r="L100" s="462">
        <f t="shared" si="6"/>
        <v>0.9982658959537573</v>
      </c>
      <c r="M100" s="462">
        <f t="shared" si="7"/>
        <v>1.05</v>
      </c>
    </row>
    <row r="101" spans="1:13" ht="18" customHeight="1">
      <c r="A101" s="463"/>
      <c r="B101" s="485" t="s">
        <v>351</v>
      </c>
      <c r="C101" s="493" t="s">
        <v>296</v>
      </c>
      <c r="D101" s="493"/>
      <c r="E101" s="493"/>
      <c r="F101" s="493"/>
      <c r="G101" s="500">
        <v>28470</v>
      </c>
      <c r="H101" s="500">
        <v>30300</v>
      </c>
      <c r="I101" s="500">
        <v>14600</v>
      </c>
      <c r="J101" s="500">
        <v>31500</v>
      </c>
      <c r="K101" s="466">
        <f>J101*1.1</f>
        <v>34650</v>
      </c>
      <c r="L101" s="462">
        <f t="shared" si="6"/>
        <v>1.106427818756586</v>
      </c>
      <c r="M101" s="462">
        <f t="shared" si="7"/>
        <v>1.1</v>
      </c>
    </row>
    <row r="102" spans="1:13" ht="18" customHeight="1">
      <c r="A102" s="463"/>
      <c r="B102" s="485" t="s">
        <v>352</v>
      </c>
      <c r="C102" s="493" t="s">
        <v>323</v>
      </c>
      <c r="D102" s="493"/>
      <c r="E102" s="493"/>
      <c r="F102" s="493"/>
      <c r="G102" s="500">
        <v>305550</v>
      </c>
      <c r="H102" s="500">
        <v>319000</v>
      </c>
      <c r="I102" s="500">
        <v>156200</v>
      </c>
      <c r="J102" s="500">
        <v>326300</v>
      </c>
      <c r="K102" s="466">
        <f>J102*1.07</f>
        <v>349141</v>
      </c>
      <c r="L102" s="462">
        <f t="shared" si="6"/>
        <v>1.0679103256422844</v>
      </c>
      <c r="M102" s="462">
        <f t="shared" si="7"/>
        <v>1.07</v>
      </c>
    </row>
    <row r="103" spans="1:13" ht="18" customHeight="1">
      <c r="A103" s="463"/>
      <c r="B103" s="485" t="s">
        <v>353</v>
      </c>
      <c r="C103" s="493" t="s">
        <v>354</v>
      </c>
      <c r="D103" s="493"/>
      <c r="E103" s="493"/>
      <c r="F103" s="493"/>
      <c r="G103" s="500">
        <v>235</v>
      </c>
      <c r="H103" s="500">
        <v>270</v>
      </c>
      <c r="I103" s="500">
        <v>128</v>
      </c>
      <c r="J103" s="500">
        <v>250</v>
      </c>
      <c r="K103" s="466">
        <f>J103*1.065</f>
        <v>266.25</v>
      </c>
      <c r="L103" s="462">
        <f t="shared" si="6"/>
        <v>1.0638297872340425</v>
      </c>
      <c r="M103" s="462">
        <f t="shared" si="7"/>
        <v>1.065</v>
      </c>
    </row>
    <row r="104" spans="1:13" ht="18" customHeight="1">
      <c r="A104" s="463"/>
      <c r="B104" s="485" t="s">
        <v>355</v>
      </c>
      <c r="C104" s="493" t="s">
        <v>356</v>
      </c>
      <c r="D104" s="493"/>
      <c r="E104" s="493"/>
      <c r="F104" s="493"/>
      <c r="G104" s="500">
        <v>3160</v>
      </c>
      <c r="H104" s="500">
        <v>3950</v>
      </c>
      <c r="I104" s="500">
        <v>1730</v>
      </c>
      <c r="J104" s="500">
        <v>3400</v>
      </c>
      <c r="K104" s="466">
        <f>J104*1.08</f>
        <v>3672.0000000000005</v>
      </c>
      <c r="L104" s="462">
        <f t="shared" si="6"/>
        <v>1.0759493670886076</v>
      </c>
      <c r="M104" s="462">
        <f t="shared" si="7"/>
        <v>1.08</v>
      </c>
    </row>
    <row r="105" spans="1:13" ht="18" customHeight="1">
      <c r="A105" s="463"/>
      <c r="B105" s="485" t="s">
        <v>357</v>
      </c>
      <c r="C105" s="493" t="s">
        <v>337</v>
      </c>
      <c r="D105" s="493"/>
      <c r="E105" s="493"/>
      <c r="F105" s="493"/>
      <c r="G105" s="500">
        <v>130</v>
      </c>
      <c r="H105" s="500">
        <v>145</v>
      </c>
      <c r="I105" s="500">
        <v>75</v>
      </c>
      <c r="J105" s="500">
        <v>140</v>
      </c>
      <c r="K105" s="466">
        <f>J105*1.08</f>
        <v>151.20000000000002</v>
      </c>
      <c r="L105" s="462">
        <f t="shared" si="6"/>
        <v>1.0769230769230769</v>
      </c>
      <c r="M105" s="462">
        <f t="shared" si="7"/>
        <v>1.08</v>
      </c>
    </row>
    <row r="106" spans="1:13" ht="18" customHeight="1">
      <c r="A106" s="463"/>
      <c r="B106" s="485" t="s">
        <v>358</v>
      </c>
      <c r="C106" s="493" t="s">
        <v>296</v>
      </c>
      <c r="D106" s="493"/>
      <c r="E106" s="493"/>
      <c r="F106" s="493"/>
      <c r="G106" s="500">
        <v>5000</v>
      </c>
      <c r="H106" s="500">
        <v>5400</v>
      </c>
      <c r="I106" s="500">
        <v>2600</v>
      </c>
      <c r="J106" s="500">
        <v>5300</v>
      </c>
      <c r="K106" s="466">
        <f>J106*1.06</f>
        <v>5618</v>
      </c>
      <c r="L106" s="462">
        <f t="shared" si="6"/>
        <v>1.06</v>
      </c>
      <c r="M106" s="462">
        <f t="shared" si="7"/>
        <v>1.06</v>
      </c>
    </row>
    <row r="107" spans="1:13" ht="18" customHeight="1">
      <c r="A107" s="463"/>
      <c r="B107" s="485" t="s">
        <v>359</v>
      </c>
      <c r="C107" s="493" t="s">
        <v>296</v>
      </c>
      <c r="D107" s="493"/>
      <c r="E107" s="493"/>
      <c r="F107" s="493"/>
      <c r="G107" s="500">
        <v>120500</v>
      </c>
      <c r="H107" s="500">
        <v>136000</v>
      </c>
      <c r="I107" s="500">
        <v>67400</v>
      </c>
      <c r="J107" s="500">
        <v>135200</v>
      </c>
      <c r="K107" s="466">
        <f>J107*1.12</f>
        <v>151424</v>
      </c>
      <c r="L107" s="462">
        <f t="shared" si="6"/>
        <v>1.1219917012448133</v>
      </c>
      <c r="M107" s="462">
        <f t="shared" si="7"/>
        <v>1.12</v>
      </c>
    </row>
    <row r="108" spans="1:13" ht="18" customHeight="1">
      <c r="A108" s="463"/>
      <c r="B108" s="485" t="s">
        <v>360</v>
      </c>
      <c r="C108" s="493" t="s">
        <v>337</v>
      </c>
      <c r="D108" s="493"/>
      <c r="E108" s="493"/>
      <c r="F108" s="493"/>
      <c r="G108" s="500">
        <v>24</v>
      </c>
      <c r="H108" s="500">
        <v>28.40909090909091</v>
      </c>
      <c r="I108" s="500">
        <v>14</v>
      </c>
      <c r="J108" s="500">
        <v>26</v>
      </c>
      <c r="K108" s="466">
        <f>J108*1.08</f>
        <v>28.080000000000002</v>
      </c>
      <c r="L108" s="462">
        <f t="shared" si="6"/>
        <v>1.0833333333333333</v>
      </c>
      <c r="M108" s="462">
        <f t="shared" si="7"/>
        <v>1.08</v>
      </c>
    </row>
    <row r="109" spans="1:13" ht="18" customHeight="1">
      <c r="A109" s="463"/>
      <c r="B109" s="485" t="s">
        <v>361</v>
      </c>
      <c r="C109" s="493" t="s">
        <v>362</v>
      </c>
      <c r="D109" s="493"/>
      <c r="E109" s="493"/>
      <c r="F109" s="493"/>
      <c r="G109" s="500">
        <v>250</v>
      </c>
      <c r="H109" s="500">
        <v>290</v>
      </c>
      <c r="I109" s="500">
        <v>140</v>
      </c>
      <c r="J109" s="500">
        <v>270</v>
      </c>
      <c r="K109" s="466">
        <f>J109*1.08</f>
        <v>291.6</v>
      </c>
      <c r="L109" s="462">
        <f t="shared" si="6"/>
        <v>1.08</v>
      </c>
      <c r="M109" s="462">
        <f>K109/J109</f>
        <v>1.08</v>
      </c>
    </row>
    <row r="110" spans="1:13" ht="18" customHeight="1">
      <c r="A110" s="463"/>
      <c r="B110" s="485" t="s">
        <v>363</v>
      </c>
      <c r="C110" s="493" t="s">
        <v>348</v>
      </c>
      <c r="D110" s="493"/>
      <c r="E110" s="493"/>
      <c r="F110" s="493"/>
      <c r="G110" s="500">
        <v>129810</v>
      </c>
      <c r="H110" s="500">
        <v>168300</v>
      </c>
      <c r="I110" s="500">
        <v>75300</v>
      </c>
      <c r="J110" s="500">
        <v>152700</v>
      </c>
      <c r="K110" s="466">
        <f>J110*1.15</f>
        <v>175605</v>
      </c>
      <c r="L110" s="462">
        <f t="shared" si="6"/>
        <v>1.176334642939681</v>
      </c>
      <c r="M110" s="462">
        <f t="shared" si="7"/>
        <v>1.15</v>
      </c>
    </row>
    <row r="111" spans="1:13" ht="18" customHeight="1">
      <c r="A111" s="463"/>
      <c r="B111" s="485" t="s">
        <v>364</v>
      </c>
      <c r="C111" s="493" t="s">
        <v>365</v>
      </c>
      <c r="D111" s="493"/>
      <c r="E111" s="493"/>
      <c r="F111" s="493"/>
      <c r="G111" s="500">
        <v>310000</v>
      </c>
      <c r="H111" s="500">
        <v>351000</v>
      </c>
      <c r="I111" s="500">
        <v>165800</v>
      </c>
      <c r="J111" s="500">
        <v>340000</v>
      </c>
      <c r="K111" s="466">
        <f>J111*1.1</f>
        <v>374000.00000000006</v>
      </c>
      <c r="L111" s="462">
        <f t="shared" si="6"/>
        <v>1.096774193548387</v>
      </c>
      <c r="M111" s="462">
        <f t="shared" si="7"/>
        <v>1.1</v>
      </c>
    </row>
    <row r="112" spans="1:13" s="527" customFormat="1" ht="21" customHeight="1" hidden="1">
      <c r="A112" s="501" t="s">
        <v>1095</v>
      </c>
      <c r="B112" s="327" t="s">
        <v>366</v>
      </c>
      <c r="C112" s="453"/>
      <c r="D112" s="453"/>
      <c r="E112" s="454"/>
      <c r="F112" s="454"/>
      <c r="G112" s="454"/>
      <c r="H112" s="502"/>
      <c r="I112" s="454"/>
      <c r="J112" s="454"/>
      <c r="K112" s="454"/>
      <c r="L112" s="454"/>
      <c r="M112" s="454"/>
    </row>
    <row r="113" spans="1:13" s="533" customFormat="1" ht="15.75" hidden="1">
      <c r="A113" s="460"/>
      <c r="B113" s="485" t="s">
        <v>1061</v>
      </c>
      <c r="C113" s="460" t="s">
        <v>1038</v>
      </c>
      <c r="D113" s="503">
        <v>9758.856</v>
      </c>
      <c r="E113" s="503">
        <v>12808.232</v>
      </c>
      <c r="F113" s="503">
        <v>15684.201</v>
      </c>
      <c r="G113" s="504">
        <v>18457.845</v>
      </c>
      <c r="H113" s="504">
        <v>21700</v>
      </c>
      <c r="I113" s="504">
        <v>9801.3</v>
      </c>
      <c r="J113" s="504">
        <v>22500</v>
      </c>
      <c r="K113" s="504">
        <v>27500</v>
      </c>
      <c r="L113" s="462">
        <f>J113/G113</f>
        <v>1.2189938749621094</v>
      </c>
      <c r="M113" s="462">
        <f>K113/J113</f>
        <v>1.2222222222222223</v>
      </c>
    </row>
    <row r="114" spans="1:13" s="527" customFormat="1" ht="21" customHeight="1" hidden="1">
      <c r="A114" s="501"/>
      <c r="B114" s="485" t="s">
        <v>1062</v>
      </c>
      <c r="C114" s="460" t="s">
        <v>1038</v>
      </c>
      <c r="D114" s="503">
        <v>6159</v>
      </c>
      <c r="E114" s="504">
        <v>6360</v>
      </c>
      <c r="F114" s="504">
        <v>7800</v>
      </c>
      <c r="G114" s="504">
        <v>9580</v>
      </c>
      <c r="H114" s="504">
        <v>11770</v>
      </c>
      <c r="I114" s="504">
        <f>H114*0.52</f>
        <v>6120.400000000001</v>
      </c>
      <c r="J114" s="504">
        <v>11500</v>
      </c>
      <c r="K114" s="504">
        <v>14000</v>
      </c>
      <c r="L114" s="462">
        <f>J114/G114</f>
        <v>1.2004175365344467</v>
      </c>
      <c r="M114" s="462">
        <f>K114/J114</f>
        <v>1.2173913043478262</v>
      </c>
    </row>
    <row r="115" spans="1:13" s="533" customFormat="1" ht="15.75" hidden="1">
      <c r="A115" s="496"/>
      <c r="B115" s="485" t="s">
        <v>1063</v>
      </c>
      <c r="C115" s="460" t="s">
        <v>1038</v>
      </c>
      <c r="D115" s="503">
        <f>D113</f>
        <v>9758.856</v>
      </c>
      <c r="E115" s="503">
        <v>10797.701</v>
      </c>
      <c r="F115" s="503">
        <v>12139.46</v>
      </c>
      <c r="G115" s="504">
        <v>13996.73</v>
      </c>
      <c r="H115" s="504">
        <v>16200</v>
      </c>
      <c r="I115" s="504">
        <f>I113*G115/G113</f>
        <v>7432.403389940699</v>
      </c>
      <c r="J115" s="504">
        <v>16800</v>
      </c>
      <c r="K115" s="504">
        <v>19900</v>
      </c>
      <c r="L115" s="462">
        <f>J115/G115</f>
        <v>1.2002803511963152</v>
      </c>
      <c r="M115" s="462">
        <f>K115/J115</f>
        <v>1.1845238095238095</v>
      </c>
    </row>
    <row r="116" spans="1:13" s="527" customFormat="1" ht="18" customHeight="1">
      <c r="A116" s="453" t="s">
        <v>252</v>
      </c>
      <c r="B116" s="327" t="s">
        <v>156</v>
      </c>
      <c r="C116" s="453"/>
      <c r="D116" s="453"/>
      <c r="E116" s="453"/>
      <c r="F116" s="453"/>
      <c r="G116" s="453"/>
      <c r="H116" s="453"/>
      <c r="I116" s="454"/>
      <c r="J116" s="454"/>
      <c r="K116" s="454"/>
      <c r="L116" s="454"/>
      <c r="M116" s="454"/>
    </row>
    <row r="117" spans="1:13" s="533" customFormat="1" ht="33" customHeight="1">
      <c r="A117" s="460"/>
      <c r="B117" s="252" t="s">
        <v>37</v>
      </c>
      <c r="C117" s="499" t="s">
        <v>1038</v>
      </c>
      <c r="D117" s="499"/>
      <c r="E117" s="499"/>
      <c r="F117" s="499"/>
      <c r="G117" s="834">
        <v>98477.61</v>
      </c>
      <c r="H117" s="506">
        <v>112400</v>
      </c>
      <c r="I117" s="507">
        <v>53600.54</v>
      </c>
      <c r="J117" s="835">
        <v>111641.93</v>
      </c>
      <c r="K117" s="836">
        <f>J117*1.135</f>
        <v>126713.59055</v>
      </c>
      <c r="L117" s="833">
        <f>J117/G117</f>
        <v>1.1336783051497694</v>
      </c>
      <c r="M117" s="462">
        <f>K117/J117</f>
        <v>1.135</v>
      </c>
    </row>
    <row r="118" spans="1:13" s="533" customFormat="1" ht="21" customHeight="1">
      <c r="A118" s="460"/>
      <c r="B118" s="253" t="s">
        <v>38</v>
      </c>
      <c r="C118" s="493" t="s">
        <v>1038</v>
      </c>
      <c r="D118" s="493"/>
      <c r="E118" s="493"/>
      <c r="F118" s="493"/>
      <c r="G118" s="500">
        <v>8602.5</v>
      </c>
      <c r="H118" s="508" t="s">
        <v>442</v>
      </c>
      <c r="I118" s="509">
        <v>4372.85</v>
      </c>
      <c r="J118" s="509">
        <v>9390.8</v>
      </c>
      <c r="K118" s="466">
        <f>J118*1.1</f>
        <v>10329.88</v>
      </c>
      <c r="L118" s="462">
        <f>J118/G118</f>
        <v>1.0916361522813134</v>
      </c>
      <c r="M118" s="462">
        <f>K118/J118</f>
        <v>1.1</v>
      </c>
    </row>
    <row r="119" spans="1:13" s="533" customFormat="1" ht="21" customHeight="1">
      <c r="A119" s="460"/>
      <c r="B119" s="253" t="s">
        <v>39</v>
      </c>
      <c r="C119" s="493" t="s">
        <v>1038</v>
      </c>
      <c r="D119" s="493"/>
      <c r="E119" s="493"/>
      <c r="F119" s="493"/>
      <c r="G119" s="500">
        <f>G117-G118-G120</f>
        <v>87396.31</v>
      </c>
      <c r="H119" s="508" t="s">
        <v>442</v>
      </c>
      <c r="I119" s="510">
        <f>I117-I118-I120</f>
        <v>47831.520000000004</v>
      </c>
      <c r="J119" s="510">
        <f>J117-J118-J120</f>
        <v>99564.15</v>
      </c>
      <c r="K119" s="510">
        <f>K117-K118-K120</f>
        <v>113454.90234999999</v>
      </c>
      <c r="L119" s="462">
        <f>J119/G119</f>
        <v>1.139226015377537</v>
      </c>
      <c r="M119" s="462">
        <f>K119/J119</f>
        <v>1.139515602252417</v>
      </c>
    </row>
    <row r="120" spans="1:13" s="533" customFormat="1" ht="21" customHeight="1">
      <c r="A120" s="460"/>
      <c r="B120" s="253" t="s">
        <v>40</v>
      </c>
      <c r="C120" s="493" t="s">
        <v>1038</v>
      </c>
      <c r="D120" s="493"/>
      <c r="E120" s="493"/>
      <c r="F120" s="493"/>
      <c r="G120" s="500">
        <v>2478.8</v>
      </c>
      <c r="H120" s="508" t="s">
        <v>442</v>
      </c>
      <c r="I120" s="509">
        <v>1396.17</v>
      </c>
      <c r="J120" s="509">
        <v>2686.98</v>
      </c>
      <c r="K120" s="466">
        <f>J120*1.09</f>
        <v>2928.8082000000004</v>
      </c>
      <c r="L120" s="462">
        <f>J120/G120</f>
        <v>1.0839841858964014</v>
      </c>
      <c r="M120" s="462">
        <f>K120/J120</f>
        <v>1.09</v>
      </c>
    </row>
    <row r="121" spans="1:13" s="533" customFormat="1" ht="21" customHeight="1">
      <c r="A121" s="453" t="s">
        <v>372</v>
      </c>
      <c r="B121" s="327" t="s">
        <v>277</v>
      </c>
      <c r="C121" s="460"/>
      <c r="D121" s="460"/>
      <c r="E121" s="460"/>
      <c r="F121" s="460"/>
      <c r="G121" s="481"/>
      <c r="H121" s="481"/>
      <c r="I121" s="481"/>
      <c r="J121" s="481"/>
      <c r="K121" s="481"/>
      <c r="L121" s="481"/>
      <c r="M121" s="481"/>
    </row>
    <row r="122" spans="1:14" s="533" customFormat="1" ht="21" customHeight="1">
      <c r="A122" s="453"/>
      <c r="B122" s="254" t="s">
        <v>41</v>
      </c>
      <c r="C122" s="255" t="s">
        <v>472</v>
      </c>
      <c r="D122" s="255"/>
      <c r="E122" s="255"/>
      <c r="F122" s="255"/>
      <c r="G122" s="456">
        <v>10915</v>
      </c>
      <c r="H122" s="456">
        <v>11860</v>
      </c>
      <c r="I122" s="456">
        <v>5825</v>
      </c>
      <c r="J122" s="456">
        <v>12432</v>
      </c>
      <c r="K122" s="511">
        <f>J122*1.0899</f>
        <v>13549.6368</v>
      </c>
      <c r="L122" s="457">
        <f>J122/G122</f>
        <v>1.1389830508474577</v>
      </c>
      <c r="M122" s="457">
        <f>K122/J122</f>
        <v>1.0899</v>
      </c>
      <c r="N122" s="534"/>
    </row>
    <row r="123" spans="1:13" s="533" customFormat="1" ht="31.5" customHeight="1">
      <c r="A123" s="453"/>
      <c r="B123" s="256" t="s">
        <v>42</v>
      </c>
      <c r="C123" s="255"/>
      <c r="D123" s="255"/>
      <c r="E123" s="255"/>
      <c r="F123" s="255"/>
      <c r="G123" s="474"/>
      <c r="H123" s="512"/>
      <c r="I123" s="474"/>
      <c r="J123" s="474"/>
      <c r="K123" s="474"/>
      <c r="L123" s="513"/>
      <c r="M123" s="481"/>
    </row>
    <row r="124" spans="1:13" s="533" customFormat="1" ht="21" customHeight="1">
      <c r="A124" s="453"/>
      <c r="B124" s="253" t="s">
        <v>43</v>
      </c>
      <c r="C124" s="255" t="s">
        <v>44</v>
      </c>
      <c r="D124" s="255"/>
      <c r="E124" s="255"/>
      <c r="F124" s="255"/>
      <c r="G124" s="465">
        <v>117419</v>
      </c>
      <c r="H124" s="512" t="s">
        <v>442</v>
      </c>
      <c r="I124" s="514">
        <v>69144</v>
      </c>
      <c r="J124" s="465">
        <v>145951.81699999998</v>
      </c>
      <c r="K124" s="466">
        <f>J124*1.2</f>
        <v>175142.18039999998</v>
      </c>
      <c r="L124" s="462">
        <f>J124/G124</f>
        <v>1.2429999999999999</v>
      </c>
      <c r="M124" s="462">
        <f>K124/J124</f>
        <v>1.2</v>
      </c>
    </row>
    <row r="125" spans="1:13" s="533" customFormat="1" ht="21" customHeight="1">
      <c r="A125" s="453"/>
      <c r="B125" s="253" t="s">
        <v>45</v>
      </c>
      <c r="C125" s="255" t="s">
        <v>472</v>
      </c>
      <c r="D125" s="255"/>
      <c r="E125" s="255"/>
      <c r="F125" s="255"/>
      <c r="G125" s="465">
        <v>25112</v>
      </c>
      <c r="H125" s="512" t="s">
        <v>442</v>
      </c>
      <c r="I125" s="515">
        <v>12546</v>
      </c>
      <c r="J125" s="465">
        <v>32168.471999999998</v>
      </c>
      <c r="K125" s="466">
        <f>J125*1.28</f>
        <v>41175.644159999996</v>
      </c>
      <c r="L125" s="462">
        <f aca="true" t="shared" si="8" ref="L125:L145">J125/G125</f>
        <v>1.281</v>
      </c>
      <c r="M125" s="462">
        <f aca="true" t="shared" si="9" ref="M125:M145">K125/J125</f>
        <v>1.28</v>
      </c>
    </row>
    <row r="126" spans="1:13" s="533" customFormat="1" ht="21" customHeight="1">
      <c r="A126" s="453"/>
      <c r="B126" s="253" t="s">
        <v>46</v>
      </c>
      <c r="C126" s="255" t="s">
        <v>472</v>
      </c>
      <c r="D126" s="255"/>
      <c r="E126" s="255"/>
      <c r="F126" s="255"/>
      <c r="G126" s="465">
        <v>141983</v>
      </c>
      <c r="H126" s="512" t="s">
        <v>442</v>
      </c>
      <c r="I126" s="515">
        <v>133853</v>
      </c>
      <c r="J126" s="465">
        <v>201757.843</v>
      </c>
      <c r="K126" s="466">
        <f>J126*1.3</f>
        <v>262285.1959</v>
      </c>
      <c r="L126" s="462">
        <f t="shared" si="8"/>
        <v>1.421</v>
      </c>
      <c r="M126" s="462">
        <f t="shared" si="9"/>
        <v>1.3</v>
      </c>
    </row>
    <row r="127" spans="1:13" s="533" customFormat="1" ht="21" customHeight="1">
      <c r="A127" s="453"/>
      <c r="B127" s="253" t="s">
        <v>47</v>
      </c>
      <c r="C127" s="255" t="s">
        <v>48</v>
      </c>
      <c r="D127" s="255"/>
      <c r="E127" s="255"/>
      <c r="F127" s="255"/>
      <c r="G127" s="465">
        <v>6618</v>
      </c>
      <c r="H127" s="512" t="s">
        <v>442</v>
      </c>
      <c r="I127" s="515">
        <v>3790</v>
      </c>
      <c r="J127" s="465">
        <v>6214.302000000001</v>
      </c>
      <c r="K127" s="466">
        <f>J127*1.1</f>
        <v>6835.732200000001</v>
      </c>
      <c r="L127" s="462">
        <f t="shared" si="8"/>
        <v>0.9390000000000001</v>
      </c>
      <c r="M127" s="462">
        <f t="shared" si="9"/>
        <v>1.1</v>
      </c>
    </row>
    <row r="128" spans="1:13" s="533" customFormat="1" ht="21" customHeight="1">
      <c r="A128" s="453"/>
      <c r="B128" s="253" t="s">
        <v>49</v>
      </c>
      <c r="C128" s="255" t="s">
        <v>48</v>
      </c>
      <c r="D128" s="255"/>
      <c r="E128" s="255"/>
      <c r="F128" s="255"/>
      <c r="G128" s="465">
        <v>124292</v>
      </c>
      <c r="H128" s="512" t="s">
        <v>442</v>
      </c>
      <c r="I128" s="514">
        <v>57347</v>
      </c>
      <c r="J128" s="465">
        <v>129885.14</v>
      </c>
      <c r="K128" s="466">
        <f>J128*1.05</f>
        <v>136379.397</v>
      </c>
      <c r="L128" s="462">
        <f t="shared" si="8"/>
        <v>1.045</v>
      </c>
      <c r="M128" s="462">
        <f t="shared" si="9"/>
        <v>1.05</v>
      </c>
    </row>
    <row r="129" spans="1:13" s="533" customFormat="1" ht="21" customHeight="1">
      <c r="A129" s="453"/>
      <c r="B129" s="253" t="s">
        <v>50</v>
      </c>
      <c r="C129" s="255" t="s">
        <v>48</v>
      </c>
      <c r="D129" s="255"/>
      <c r="E129" s="255"/>
      <c r="F129" s="255"/>
      <c r="G129" s="465">
        <v>130925</v>
      </c>
      <c r="H129" s="512" t="s">
        <v>442</v>
      </c>
      <c r="I129" s="514">
        <v>61250</v>
      </c>
      <c r="J129" s="465">
        <v>151349.3</v>
      </c>
      <c r="K129" s="466">
        <f>J129*1.15</f>
        <v>174051.69499999998</v>
      </c>
      <c r="L129" s="462">
        <f t="shared" si="8"/>
        <v>1.156</v>
      </c>
      <c r="M129" s="462">
        <f t="shared" si="9"/>
        <v>1.15</v>
      </c>
    </row>
    <row r="130" spans="1:13" s="533" customFormat="1" ht="21" customHeight="1">
      <c r="A130" s="453"/>
      <c r="B130" s="253" t="s">
        <v>51</v>
      </c>
      <c r="C130" s="255" t="s">
        <v>48</v>
      </c>
      <c r="D130" s="255"/>
      <c r="E130" s="255"/>
      <c r="F130" s="255"/>
      <c r="G130" s="465">
        <v>270434</v>
      </c>
      <c r="H130" s="512" t="s">
        <v>442</v>
      </c>
      <c r="I130" s="514">
        <v>134044</v>
      </c>
      <c r="J130" s="465">
        <v>309106.062</v>
      </c>
      <c r="K130" s="466">
        <f>J130*1.14</f>
        <v>352380.91068</v>
      </c>
      <c r="L130" s="462">
        <f t="shared" si="8"/>
        <v>1.143</v>
      </c>
      <c r="M130" s="462">
        <f t="shared" si="9"/>
        <v>1.14</v>
      </c>
    </row>
    <row r="131" spans="1:13" s="533" customFormat="1" ht="21" customHeight="1">
      <c r="A131" s="453"/>
      <c r="B131" s="253" t="s">
        <v>52</v>
      </c>
      <c r="C131" s="255" t="s">
        <v>44</v>
      </c>
      <c r="D131" s="255"/>
      <c r="E131" s="255"/>
      <c r="F131" s="255"/>
      <c r="G131" s="465">
        <v>23631</v>
      </c>
      <c r="H131" s="512" t="s">
        <v>442</v>
      </c>
      <c r="I131" s="515">
        <v>9101</v>
      </c>
      <c r="J131" s="465">
        <v>20251.767</v>
      </c>
      <c r="K131" s="466">
        <f>J131*1.2</f>
        <v>24302.1204</v>
      </c>
      <c r="L131" s="462">
        <f t="shared" si="8"/>
        <v>0.857</v>
      </c>
      <c r="M131" s="462">
        <f t="shared" si="9"/>
        <v>1.2</v>
      </c>
    </row>
    <row r="132" spans="1:13" s="533" customFormat="1" ht="21" customHeight="1">
      <c r="A132" s="453"/>
      <c r="B132" s="253" t="s">
        <v>53</v>
      </c>
      <c r="C132" s="255" t="s">
        <v>48</v>
      </c>
      <c r="D132" s="255"/>
      <c r="E132" s="255"/>
      <c r="F132" s="255"/>
      <c r="G132" s="465">
        <v>194303</v>
      </c>
      <c r="H132" s="512" t="s">
        <v>442</v>
      </c>
      <c r="I132" s="514">
        <v>102159</v>
      </c>
      <c r="J132" s="465">
        <v>215287.724</v>
      </c>
      <c r="K132" s="466">
        <f>J132*1.12</f>
        <v>241122.25088</v>
      </c>
      <c r="L132" s="462">
        <f t="shared" si="8"/>
        <v>1.1079999999999999</v>
      </c>
      <c r="M132" s="462">
        <f t="shared" si="9"/>
        <v>1.12</v>
      </c>
    </row>
    <row r="133" spans="1:13" s="533" customFormat="1" ht="21" customHeight="1">
      <c r="A133" s="453"/>
      <c r="B133" s="253" t="s">
        <v>54</v>
      </c>
      <c r="C133" s="255" t="s">
        <v>48</v>
      </c>
      <c r="D133" s="255"/>
      <c r="E133" s="255"/>
      <c r="F133" s="255"/>
      <c r="G133" s="465">
        <v>902918</v>
      </c>
      <c r="H133" s="512" t="s">
        <v>442</v>
      </c>
      <c r="I133" s="514">
        <v>436597</v>
      </c>
      <c r="J133" s="465">
        <v>1007656.488</v>
      </c>
      <c r="K133" s="466">
        <f>J133*1.15</f>
        <v>1158804.9612</v>
      </c>
      <c r="L133" s="462">
        <f t="shared" si="8"/>
        <v>1.116</v>
      </c>
      <c r="M133" s="462">
        <f t="shared" si="9"/>
        <v>1.15</v>
      </c>
    </row>
    <row r="134" spans="1:13" s="533" customFormat="1" ht="21" customHeight="1">
      <c r="A134" s="453"/>
      <c r="B134" s="253" t="s">
        <v>55</v>
      </c>
      <c r="C134" s="255" t="s">
        <v>48</v>
      </c>
      <c r="D134" s="255"/>
      <c r="E134" s="255"/>
      <c r="F134" s="255"/>
      <c r="G134" s="465">
        <v>1056716</v>
      </c>
      <c r="H134" s="512" t="s">
        <v>442</v>
      </c>
      <c r="I134" s="514">
        <v>494379</v>
      </c>
      <c r="J134" s="465">
        <v>1102154.788</v>
      </c>
      <c r="K134" s="466">
        <f>J134*1.05</f>
        <v>1157262.5274</v>
      </c>
      <c r="L134" s="462">
        <f t="shared" si="8"/>
        <v>1.043</v>
      </c>
      <c r="M134" s="462">
        <f t="shared" si="9"/>
        <v>1.05</v>
      </c>
    </row>
    <row r="135" spans="1:13" s="533" customFormat="1" ht="21" customHeight="1">
      <c r="A135" s="453"/>
      <c r="B135" s="253" t="s">
        <v>56</v>
      </c>
      <c r="C135" s="255" t="s">
        <v>48</v>
      </c>
      <c r="D135" s="255"/>
      <c r="E135" s="255"/>
      <c r="F135" s="255"/>
      <c r="G135" s="465">
        <v>1519218</v>
      </c>
      <c r="H135" s="512" t="s">
        <v>442</v>
      </c>
      <c r="I135" s="514">
        <v>760214</v>
      </c>
      <c r="J135" s="465">
        <v>1748619.9179999998</v>
      </c>
      <c r="K135" s="466">
        <f>J135*1.18</f>
        <v>2063371.5032399998</v>
      </c>
      <c r="L135" s="462">
        <f t="shared" si="8"/>
        <v>1.1509999999999998</v>
      </c>
      <c r="M135" s="462">
        <f t="shared" si="9"/>
        <v>1.18</v>
      </c>
    </row>
    <row r="136" spans="1:13" s="533" customFormat="1" ht="21" customHeight="1">
      <c r="A136" s="453"/>
      <c r="B136" s="253" t="s">
        <v>57</v>
      </c>
      <c r="C136" s="255" t="s">
        <v>48</v>
      </c>
      <c r="D136" s="255"/>
      <c r="E136" s="255"/>
      <c r="F136" s="255"/>
      <c r="G136" s="465">
        <v>1860762</v>
      </c>
      <c r="H136" s="512" t="s">
        <v>442</v>
      </c>
      <c r="I136" s="514">
        <v>1000712</v>
      </c>
      <c r="J136" s="465">
        <v>2180813.0640000002</v>
      </c>
      <c r="K136" s="466">
        <f>J136*1.18</f>
        <v>2573359.4155200003</v>
      </c>
      <c r="L136" s="462">
        <f t="shared" si="8"/>
        <v>1.1720000000000002</v>
      </c>
      <c r="M136" s="462">
        <f t="shared" si="9"/>
        <v>1.18</v>
      </c>
    </row>
    <row r="137" spans="1:13" s="533" customFormat="1" ht="30" customHeight="1">
      <c r="A137" s="453"/>
      <c r="B137" s="253" t="s">
        <v>58</v>
      </c>
      <c r="C137" s="255" t="s">
        <v>48</v>
      </c>
      <c r="D137" s="255"/>
      <c r="E137" s="255"/>
      <c r="F137" s="255"/>
      <c r="G137" s="465">
        <v>182868</v>
      </c>
      <c r="H137" s="512" t="s">
        <v>442</v>
      </c>
      <c r="I137" s="514">
        <v>95235</v>
      </c>
      <c r="J137" s="465">
        <v>204995.02800000002</v>
      </c>
      <c r="K137" s="466">
        <f>J137*1.13</f>
        <v>231644.38164</v>
      </c>
      <c r="L137" s="462">
        <f t="shared" si="8"/>
        <v>1.1210000000000002</v>
      </c>
      <c r="M137" s="462">
        <f t="shared" si="9"/>
        <v>1.13</v>
      </c>
    </row>
    <row r="138" spans="1:13" s="533" customFormat="1" ht="21" customHeight="1">
      <c r="A138" s="453"/>
      <c r="B138" s="253" t="s">
        <v>59</v>
      </c>
      <c r="C138" s="255" t="s">
        <v>44</v>
      </c>
      <c r="D138" s="255"/>
      <c r="E138" s="255"/>
      <c r="F138" s="255"/>
      <c r="G138" s="465">
        <v>117828</v>
      </c>
      <c r="H138" s="512" t="s">
        <v>442</v>
      </c>
      <c r="I138" s="514">
        <v>55045</v>
      </c>
      <c r="J138" s="465">
        <v>115824.924</v>
      </c>
      <c r="K138" s="466">
        <f>J138*1.1</f>
        <v>127407.41640000002</v>
      </c>
      <c r="L138" s="462">
        <f t="shared" si="8"/>
        <v>0.983</v>
      </c>
      <c r="M138" s="462">
        <f t="shared" si="9"/>
        <v>1.1</v>
      </c>
    </row>
    <row r="139" spans="1:13" s="533" customFormat="1" ht="21" customHeight="1">
      <c r="A139" s="453"/>
      <c r="B139" s="253" t="s">
        <v>60</v>
      </c>
      <c r="C139" s="255" t="s">
        <v>472</v>
      </c>
      <c r="D139" s="255"/>
      <c r="E139" s="255"/>
      <c r="F139" s="255"/>
      <c r="G139" s="465">
        <v>130844</v>
      </c>
      <c r="H139" s="512" t="s">
        <v>442</v>
      </c>
      <c r="I139" s="515">
        <v>101812</v>
      </c>
      <c r="J139" s="465">
        <v>189033</v>
      </c>
      <c r="K139" s="466">
        <f>J139*1.2</f>
        <v>226839.6</v>
      </c>
      <c r="L139" s="462">
        <f t="shared" si="8"/>
        <v>1.4447204304362447</v>
      </c>
      <c r="M139" s="462">
        <f t="shared" si="9"/>
        <v>1.2</v>
      </c>
    </row>
    <row r="140" spans="1:13" s="533" customFormat="1" ht="21" customHeight="1">
      <c r="A140" s="453"/>
      <c r="B140" s="253" t="s">
        <v>61</v>
      </c>
      <c r="C140" s="255" t="s">
        <v>472</v>
      </c>
      <c r="D140" s="255"/>
      <c r="E140" s="255"/>
      <c r="F140" s="255"/>
      <c r="G140" s="465">
        <v>490533</v>
      </c>
      <c r="H140" s="512" t="s">
        <v>442</v>
      </c>
      <c r="I140" s="514">
        <v>250166</v>
      </c>
      <c r="J140" s="465">
        <v>509663.787</v>
      </c>
      <c r="K140" s="466">
        <f>J140*1.04</f>
        <v>530050.33848</v>
      </c>
      <c r="L140" s="462">
        <f t="shared" si="8"/>
        <v>1.039</v>
      </c>
      <c r="M140" s="462">
        <f t="shared" si="9"/>
        <v>1.04</v>
      </c>
    </row>
    <row r="141" spans="1:13" s="533" customFormat="1" ht="30">
      <c r="A141" s="453"/>
      <c r="B141" s="253" t="s">
        <v>62</v>
      </c>
      <c r="C141" s="255" t="s">
        <v>48</v>
      </c>
      <c r="D141" s="255"/>
      <c r="E141" s="255"/>
      <c r="F141" s="255"/>
      <c r="G141" s="465">
        <v>293380</v>
      </c>
      <c r="H141" s="512" t="s">
        <v>442</v>
      </c>
      <c r="I141" s="514">
        <v>161644</v>
      </c>
      <c r="J141" s="465">
        <v>394009.34</v>
      </c>
      <c r="K141" s="466">
        <f>J141*1.3</f>
        <v>512212.14200000005</v>
      </c>
      <c r="L141" s="462">
        <f t="shared" si="8"/>
        <v>1.3430000000000002</v>
      </c>
      <c r="M141" s="462">
        <f t="shared" si="9"/>
        <v>1.3</v>
      </c>
    </row>
    <row r="142" spans="1:13" s="533" customFormat="1" ht="30">
      <c r="A142" s="453"/>
      <c r="B142" s="253" t="s">
        <v>63</v>
      </c>
      <c r="C142" s="255" t="s">
        <v>48</v>
      </c>
      <c r="D142" s="255"/>
      <c r="E142" s="255"/>
      <c r="F142" s="255"/>
      <c r="G142" s="465">
        <v>811135</v>
      </c>
      <c r="H142" s="512" t="s">
        <v>442</v>
      </c>
      <c r="I142" s="514">
        <v>400987</v>
      </c>
      <c r="J142" s="465">
        <v>857369.695</v>
      </c>
      <c r="K142" s="466">
        <f>J142*1.06</f>
        <v>908811.8767</v>
      </c>
      <c r="L142" s="462">
        <f t="shared" si="8"/>
        <v>1.057</v>
      </c>
      <c r="M142" s="462">
        <f t="shared" si="9"/>
        <v>1.06</v>
      </c>
    </row>
    <row r="143" spans="1:13" s="533" customFormat="1" ht="21" customHeight="1">
      <c r="A143" s="453"/>
      <c r="B143" s="253" t="s">
        <v>64</v>
      </c>
      <c r="C143" s="255" t="s">
        <v>48</v>
      </c>
      <c r="D143" s="255"/>
      <c r="E143" s="255"/>
      <c r="F143" s="255"/>
      <c r="G143" s="465">
        <v>78638</v>
      </c>
      <c r="H143" s="512" t="s">
        <v>442</v>
      </c>
      <c r="I143" s="514">
        <v>34867</v>
      </c>
      <c r="J143" s="465">
        <v>72582.874</v>
      </c>
      <c r="K143" s="466">
        <f>J143*1.1</f>
        <v>79841.1614</v>
      </c>
      <c r="L143" s="462">
        <f t="shared" si="8"/>
        <v>0.9229999999999999</v>
      </c>
      <c r="M143" s="462">
        <f t="shared" si="9"/>
        <v>1.1</v>
      </c>
    </row>
    <row r="144" spans="1:13" s="533" customFormat="1" ht="28.5" customHeight="1">
      <c r="A144" s="453"/>
      <c r="B144" s="253" t="s">
        <v>65</v>
      </c>
      <c r="C144" s="255" t="s">
        <v>48</v>
      </c>
      <c r="D144" s="255"/>
      <c r="E144" s="255"/>
      <c r="F144" s="255"/>
      <c r="G144" s="465">
        <v>411866</v>
      </c>
      <c r="H144" s="512" t="s">
        <v>442</v>
      </c>
      <c r="I144" s="514">
        <v>234010</v>
      </c>
      <c r="J144" s="465">
        <v>524305.418</v>
      </c>
      <c r="K144" s="466">
        <f>J144*1.2</f>
        <v>629166.5016</v>
      </c>
      <c r="L144" s="462">
        <f t="shared" si="8"/>
        <v>1.273</v>
      </c>
      <c r="M144" s="462">
        <f t="shared" si="9"/>
        <v>1.2</v>
      </c>
    </row>
    <row r="145" spans="1:13" s="533" customFormat="1" ht="21.75" customHeight="1">
      <c r="A145" s="453"/>
      <c r="B145" s="254" t="s">
        <v>66</v>
      </c>
      <c r="C145" s="257" t="s">
        <v>1051</v>
      </c>
      <c r="D145" s="257"/>
      <c r="E145" s="257"/>
      <c r="F145" s="257"/>
      <c r="G145" s="456">
        <v>11052</v>
      </c>
      <c r="H145" s="456">
        <v>12130</v>
      </c>
      <c r="I145" s="456">
        <v>5753</v>
      </c>
      <c r="J145" s="456">
        <v>11991</v>
      </c>
      <c r="K145" s="511">
        <f>J145*1.08</f>
        <v>12950.28</v>
      </c>
      <c r="L145" s="457">
        <f t="shared" si="8"/>
        <v>1.0849619978284473</v>
      </c>
      <c r="M145" s="457">
        <f t="shared" si="9"/>
        <v>1.08</v>
      </c>
    </row>
    <row r="146" spans="1:13" s="533" customFormat="1" ht="15.75">
      <c r="A146" s="453"/>
      <c r="B146" s="256" t="s">
        <v>67</v>
      </c>
      <c r="C146" s="255"/>
      <c r="D146" s="255"/>
      <c r="E146" s="255"/>
      <c r="F146" s="255"/>
      <c r="G146" s="474"/>
      <c r="H146" s="474"/>
      <c r="I146" s="474"/>
      <c r="J146" s="474"/>
      <c r="K146" s="474"/>
      <c r="L146" s="474"/>
      <c r="M146" s="481"/>
    </row>
    <row r="147" spans="1:13" s="533" customFormat="1" ht="21" customHeight="1">
      <c r="A147" s="453"/>
      <c r="B147" s="516" t="s">
        <v>68</v>
      </c>
      <c r="C147" s="517" t="s">
        <v>296</v>
      </c>
      <c r="D147" s="517"/>
      <c r="E147" s="517"/>
      <c r="F147" s="517"/>
      <c r="G147" s="465">
        <v>616534</v>
      </c>
      <c r="H147" s="515" t="s">
        <v>442</v>
      </c>
      <c r="I147" s="518">
        <v>507700</v>
      </c>
      <c r="J147" s="465">
        <v>963026.108</v>
      </c>
      <c r="K147" s="466">
        <f>J147*0.9</f>
        <v>866723.4972</v>
      </c>
      <c r="L147" s="462">
        <f>J147/G147</f>
        <v>1.562</v>
      </c>
      <c r="M147" s="462">
        <f>K147/J147</f>
        <v>0.9</v>
      </c>
    </row>
    <row r="148" spans="1:13" s="533" customFormat="1" ht="21" customHeight="1">
      <c r="A148" s="453"/>
      <c r="B148" s="516" t="s">
        <v>69</v>
      </c>
      <c r="C148" s="517" t="s">
        <v>367</v>
      </c>
      <c r="D148" s="517"/>
      <c r="E148" s="517"/>
      <c r="F148" s="517"/>
      <c r="G148" s="465">
        <v>829039</v>
      </c>
      <c r="H148" s="515" t="s">
        <v>442</v>
      </c>
      <c r="I148" s="519">
        <v>373307</v>
      </c>
      <c r="J148" s="465">
        <v>799193.5960000001</v>
      </c>
      <c r="K148" s="466">
        <f>J148*1.05</f>
        <v>839153.2758000002</v>
      </c>
      <c r="L148" s="462">
        <f aca="true" t="shared" si="10" ref="L148:L169">J148/G148</f>
        <v>0.9640000000000002</v>
      </c>
      <c r="M148" s="462">
        <f aca="true" t="shared" si="11" ref="M148:M169">K148/J148</f>
        <v>1.05</v>
      </c>
    </row>
    <row r="149" spans="1:13" s="533" customFormat="1" ht="21" customHeight="1">
      <c r="A149" s="453"/>
      <c r="B149" s="516" t="s">
        <v>70</v>
      </c>
      <c r="C149" s="517" t="s">
        <v>367</v>
      </c>
      <c r="D149" s="517"/>
      <c r="E149" s="517"/>
      <c r="F149" s="517"/>
      <c r="G149" s="465">
        <v>127446</v>
      </c>
      <c r="H149" s="515" t="s">
        <v>442</v>
      </c>
      <c r="I149" s="519">
        <v>46156</v>
      </c>
      <c r="J149" s="465">
        <v>103868.49</v>
      </c>
      <c r="K149" s="466">
        <f>J149*1.02</f>
        <v>105945.8598</v>
      </c>
      <c r="L149" s="462">
        <f t="shared" si="10"/>
        <v>0.8150000000000001</v>
      </c>
      <c r="M149" s="462">
        <f t="shared" si="11"/>
        <v>1.02</v>
      </c>
    </row>
    <row r="150" spans="1:13" s="533" customFormat="1" ht="21" customHeight="1">
      <c r="A150" s="453"/>
      <c r="B150" s="516" t="s">
        <v>71</v>
      </c>
      <c r="C150" s="517" t="s">
        <v>367</v>
      </c>
      <c r="D150" s="517"/>
      <c r="E150" s="517"/>
      <c r="F150" s="517"/>
      <c r="G150" s="465">
        <v>90565</v>
      </c>
      <c r="H150" s="515" t="s">
        <v>442</v>
      </c>
      <c r="I150" s="519">
        <v>73040</v>
      </c>
      <c r="J150" s="465">
        <v>112315</v>
      </c>
      <c r="K150" s="466">
        <f>J150*1.2</f>
        <v>134778</v>
      </c>
      <c r="L150" s="462">
        <f t="shared" si="10"/>
        <v>1.240159001821896</v>
      </c>
      <c r="M150" s="462">
        <f t="shared" si="11"/>
        <v>1.2</v>
      </c>
    </row>
    <row r="151" spans="1:13" s="533" customFormat="1" ht="21" customHeight="1">
      <c r="A151" s="453"/>
      <c r="B151" s="516" t="s">
        <v>49</v>
      </c>
      <c r="C151" s="517" t="s">
        <v>367</v>
      </c>
      <c r="D151" s="517"/>
      <c r="E151" s="517"/>
      <c r="F151" s="517"/>
      <c r="G151" s="465">
        <v>813696</v>
      </c>
      <c r="H151" s="515" t="s">
        <v>442</v>
      </c>
      <c r="I151" s="519">
        <v>401345</v>
      </c>
      <c r="J151" s="465">
        <v>833224.704</v>
      </c>
      <c r="K151" s="466">
        <f>J151*1.03</f>
        <v>858221.44512</v>
      </c>
      <c r="L151" s="462">
        <f t="shared" si="10"/>
        <v>1.024</v>
      </c>
      <c r="M151" s="462">
        <f t="shared" si="11"/>
        <v>1.03</v>
      </c>
    </row>
    <row r="152" spans="1:13" s="533" customFormat="1" ht="21" customHeight="1">
      <c r="A152" s="453"/>
      <c r="B152" s="516" t="s">
        <v>72</v>
      </c>
      <c r="C152" s="517" t="s">
        <v>367</v>
      </c>
      <c r="D152" s="517"/>
      <c r="E152" s="517"/>
      <c r="F152" s="517"/>
      <c r="G152" s="465">
        <v>419098</v>
      </c>
      <c r="H152" s="515" t="s">
        <v>442</v>
      </c>
      <c r="I152" s="519">
        <v>193453</v>
      </c>
      <c r="J152" s="465">
        <v>408620.55</v>
      </c>
      <c r="K152" s="466">
        <f>J152*1.05</f>
        <v>429051.5775</v>
      </c>
      <c r="L152" s="462">
        <f t="shared" si="10"/>
        <v>0.975</v>
      </c>
      <c r="M152" s="462">
        <f t="shared" si="11"/>
        <v>1.05</v>
      </c>
    </row>
    <row r="153" spans="1:13" s="533" customFormat="1" ht="21" customHeight="1">
      <c r="A153" s="453"/>
      <c r="B153" s="516" t="s">
        <v>73</v>
      </c>
      <c r="C153" s="517" t="s">
        <v>367</v>
      </c>
      <c r="D153" s="517"/>
      <c r="E153" s="517"/>
      <c r="F153" s="517"/>
      <c r="G153" s="465">
        <v>27927</v>
      </c>
      <c r="H153" s="515" t="s">
        <v>442</v>
      </c>
      <c r="I153" s="519">
        <v>18857</v>
      </c>
      <c r="J153" s="465">
        <v>39991.464</v>
      </c>
      <c r="K153" s="466">
        <f>J153*1.3</f>
        <v>51988.9032</v>
      </c>
      <c r="L153" s="462">
        <f t="shared" si="10"/>
        <v>1.432</v>
      </c>
      <c r="M153" s="462">
        <f t="shared" si="11"/>
        <v>1.3</v>
      </c>
    </row>
    <row r="154" spans="1:13" s="144" customFormat="1" ht="21" customHeight="1">
      <c r="A154" s="453"/>
      <c r="B154" s="516" t="s">
        <v>74</v>
      </c>
      <c r="C154" s="517" t="s">
        <v>296</v>
      </c>
      <c r="D154" s="517"/>
      <c r="E154" s="517"/>
      <c r="F154" s="517"/>
      <c r="G154" s="465">
        <v>206068</v>
      </c>
      <c r="H154" s="515" t="s">
        <v>442</v>
      </c>
      <c r="I154" s="519">
        <v>116833</v>
      </c>
      <c r="J154" s="465">
        <v>231208.296</v>
      </c>
      <c r="K154" s="466">
        <f>J154*1.15</f>
        <v>265889.5404</v>
      </c>
      <c r="L154" s="462">
        <f t="shared" si="10"/>
        <v>1.122</v>
      </c>
      <c r="M154" s="462">
        <f t="shared" si="11"/>
        <v>1.15</v>
      </c>
    </row>
    <row r="155" spans="1:13" s="144" customFormat="1" ht="21" customHeight="1">
      <c r="A155" s="453"/>
      <c r="B155" s="516" t="s">
        <v>75</v>
      </c>
      <c r="C155" s="517" t="s">
        <v>367</v>
      </c>
      <c r="D155" s="517"/>
      <c r="E155" s="517"/>
      <c r="F155" s="517"/>
      <c r="G155" s="465">
        <v>235328</v>
      </c>
      <c r="H155" s="515" t="s">
        <v>442</v>
      </c>
      <c r="I155" s="519">
        <v>105791</v>
      </c>
      <c r="J155" s="465">
        <v>217678.4</v>
      </c>
      <c r="K155" s="466">
        <f>J155*1.05</f>
        <v>228562.32</v>
      </c>
      <c r="L155" s="462">
        <f t="shared" si="10"/>
        <v>0.9249999999999999</v>
      </c>
      <c r="M155" s="462">
        <f t="shared" si="11"/>
        <v>1.05</v>
      </c>
    </row>
    <row r="156" spans="1:13" s="144" customFormat="1" ht="21" customHeight="1">
      <c r="A156" s="453"/>
      <c r="B156" s="516" t="s">
        <v>76</v>
      </c>
      <c r="C156" s="517" t="s">
        <v>367</v>
      </c>
      <c r="D156" s="517"/>
      <c r="E156" s="517"/>
      <c r="F156" s="517"/>
      <c r="G156" s="465">
        <v>1037225</v>
      </c>
      <c r="H156" s="515" t="s">
        <v>442</v>
      </c>
      <c r="I156" s="519">
        <v>574688</v>
      </c>
      <c r="J156" s="465">
        <v>1173101.475</v>
      </c>
      <c r="K156" s="466">
        <f>J156*0.8</f>
        <v>938481.1800000002</v>
      </c>
      <c r="L156" s="462">
        <f t="shared" si="10"/>
        <v>1.131</v>
      </c>
      <c r="M156" s="462">
        <f t="shared" si="11"/>
        <v>0.8</v>
      </c>
    </row>
    <row r="157" spans="1:13" s="144" customFormat="1" ht="21" customHeight="1">
      <c r="A157" s="453"/>
      <c r="B157" s="516" t="s">
        <v>77</v>
      </c>
      <c r="C157" s="517" t="s">
        <v>367</v>
      </c>
      <c r="D157" s="517"/>
      <c r="E157" s="517"/>
      <c r="F157" s="517"/>
      <c r="G157" s="465">
        <v>183504</v>
      </c>
      <c r="H157" s="515" t="s">
        <v>442</v>
      </c>
      <c r="I157" s="519">
        <v>96719</v>
      </c>
      <c r="J157" s="465">
        <v>194697.74399999998</v>
      </c>
      <c r="K157" s="466">
        <f>J157*1.7</f>
        <v>330986.16479999997</v>
      </c>
      <c r="L157" s="462">
        <f t="shared" si="10"/>
        <v>1.061</v>
      </c>
      <c r="M157" s="462">
        <f t="shared" si="11"/>
        <v>1.7</v>
      </c>
    </row>
    <row r="158" spans="1:13" s="144" customFormat="1" ht="21" customHeight="1">
      <c r="A158" s="453"/>
      <c r="B158" s="516" t="s">
        <v>78</v>
      </c>
      <c r="C158" s="517" t="s">
        <v>367</v>
      </c>
      <c r="D158" s="517"/>
      <c r="E158" s="517"/>
      <c r="F158" s="517"/>
      <c r="G158" s="465">
        <v>165945</v>
      </c>
      <c r="H158" s="515" t="s">
        <v>442</v>
      </c>
      <c r="I158" s="519">
        <v>82405</v>
      </c>
      <c r="J158" s="465">
        <v>178390.875</v>
      </c>
      <c r="K158" s="466">
        <f>J158*1.6</f>
        <v>285425.4</v>
      </c>
      <c r="L158" s="462">
        <f t="shared" si="10"/>
        <v>1.075</v>
      </c>
      <c r="M158" s="462">
        <f t="shared" si="11"/>
        <v>1.6</v>
      </c>
    </row>
    <row r="159" spans="1:13" s="533" customFormat="1" ht="21" customHeight="1">
      <c r="A159" s="453"/>
      <c r="B159" s="520" t="s">
        <v>79</v>
      </c>
      <c r="C159" s="517" t="s">
        <v>367</v>
      </c>
      <c r="D159" s="517"/>
      <c r="E159" s="517"/>
      <c r="F159" s="517"/>
      <c r="G159" s="465">
        <v>106303</v>
      </c>
      <c r="H159" s="515" t="s">
        <v>442</v>
      </c>
      <c r="I159" s="519">
        <v>55162</v>
      </c>
      <c r="J159" s="465">
        <v>112043.36200000001</v>
      </c>
      <c r="K159" s="466">
        <f>J159*1.05</f>
        <v>117645.53010000002</v>
      </c>
      <c r="L159" s="462">
        <f t="shared" si="10"/>
        <v>1.054</v>
      </c>
      <c r="M159" s="462">
        <f t="shared" si="11"/>
        <v>1.05</v>
      </c>
    </row>
    <row r="160" spans="1:13" s="533" customFormat="1" ht="21" customHeight="1">
      <c r="A160" s="453"/>
      <c r="B160" s="521" t="s">
        <v>80</v>
      </c>
      <c r="C160" s="517" t="s">
        <v>367</v>
      </c>
      <c r="D160" s="517"/>
      <c r="E160" s="517"/>
      <c r="F160" s="517"/>
      <c r="G160" s="465">
        <v>465361</v>
      </c>
      <c r="H160" s="515" t="s">
        <v>442</v>
      </c>
      <c r="I160" s="519">
        <v>271983</v>
      </c>
      <c r="J160" s="465">
        <v>537026.594</v>
      </c>
      <c r="K160" s="466">
        <f>J160*1.15</f>
        <v>617580.5831</v>
      </c>
      <c r="L160" s="462">
        <f t="shared" si="10"/>
        <v>1.1540000000000001</v>
      </c>
      <c r="M160" s="462">
        <f t="shared" si="11"/>
        <v>1.15</v>
      </c>
    </row>
    <row r="161" spans="1:13" s="533" customFormat="1" ht="21" customHeight="1">
      <c r="A161" s="453"/>
      <c r="B161" s="520" t="s">
        <v>81</v>
      </c>
      <c r="C161" s="517" t="s">
        <v>367</v>
      </c>
      <c r="D161" s="517"/>
      <c r="E161" s="517"/>
      <c r="F161" s="517"/>
      <c r="G161" s="465">
        <v>466602</v>
      </c>
      <c r="H161" s="515" t="s">
        <v>442</v>
      </c>
      <c r="I161" s="519">
        <v>214490</v>
      </c>
      <c r="J161" s="465">
        <v>448871.124</v>
      </c>
      <c r="K161" s="466">
        <f>J161*1.05</f>
        <v>471314.6802</v>
      </c>
      <c r="L161" s="462">
        <f t="shared" si="10"/>
        <v>0.9620000000000001</v>
      </c>
      <c r="M161" s="462">
        <f t="shared" si="11"/>
        <v>1.05</v>
      </c>
    </row>
    <row r="162" spans="1:13" s="533" customFormat="1" ht="21" customHeight="1">
      <c r="A162" s="453"/>
      <c r="B162" s="520" t="s">
        <v>82</v>
      </c>
      <c r="C162" s="517" t="s">
        <v>367</v>
      </c>
      <c r="D162" s="517"/>
      <c r="E162" s="517"/>
      <c r="F162" s="517"/>
      <c r="G162" s="465">
        <v>701965</v>
      </c>
      <c r="H162" s="515" t="s">
        <v>442</v>
      </c>
      <c r="I162" s="519">
        <v>341215</v>
      </c>
      <c r="J162" s="465">
        <v>732851.46</v>
      </c>
      <c r="K162" s="466">
        <f>J162*1.04</f>
        <v>762165.5184</v>
      </c>
      <c r="L162" s="462">
        <f t="shared" si="10"/>
        <v>1.044</v>
      </c>
      <c r="M162" s="462">
        <f t="shared" si="11"/>
        <v>1.04</v>
      </c>
    </row>
    <row r="163" spans="1:13" s="533" customFormat="1" ht="27.75" customHeight="1">
      <c r="A163" s="453"/>
      <c r="B163" s="522" t="s">
        <v>83</v>
      </c>
      <c r="C163" s="517" t="s">
        <v>367</v>
      </c>
      <c r="D163" s="517"/>
      <c r="E163" s="517"/>
      <c r="F163" s="517"/>
      <c r="G163" s="465">
        <v>500275</v>
      </c>
      <c r="H163" s="515" t="s">
        <v>442</v>
      </c>
      <c r="I163" s="519">
        <v>262847</v>
      </c>
      <c r="J163" s="465">
        <v>537795.625</v>
      </c>
      <c r="K163" s="466">
        <f>J163*1.08</f>
        <v>580819.275</v>
      </c>
      <c r="L163" s="462">
        <f t="shared" si="10"/>
        <v>1.075</v>
      </c>
      <c r="M163" s="462">
        <f t="shared" si="11"/>
        <v>1.08</v>
      </c>
    </row>
    <row r="164" spans="1:13" s="533" customFormat="1" ht="21" customHeight="1">
      <c r="A164" s="453"/>
      <c r="B164" s="520" t="s">
        <v>84</v>
      </c>
      <c r="C164" s="517" t="s">
        <v>367</v>
      </c>
      <c r="D164" s="517"/>
      <c r="E164" s="517"/>
      <c r="F164" s="517"/>
      <c r="G164" s="465">
        <v>943757</v>
      </c>
      <c r="H164" s="515" t="s">
        <v>442</v>
      </c>
      <c r="I164" s="519">
        <v>509629</v>
      </c>
      <c r="J164" s="465">
        <v>1023032.5880000001</v>
      </c>
      <c r="K164" s="466">
        <f>J164*1.09</f>
        <v>1115105.5209200003</v>
      </c>
      <c r="L164" s="462">
        <f t="shared" si="10"/>
        <v>1.084</v>
      </c>
      <c r="M164" s="462">
        <f t="shared" si="11"/>
        <v>1.09</v>
      </c>
    </row>
    <row r="165" spans="1:13" s="533" customFormat="1" ht="21" customHeight="1">
      <c r="A165" s="453"/>
      <c r="B165" s="520" t="s">
        <v>85</v>
      </c>
      <c r="C165" s="517" t="s">
        <v>367</v>
      </c>
      <c r="D165" s="517"/>
      <c r="E165" s="517"/>
      <c r="F165" s="517"/>
      <c r="G165" s="465">
        <v>148217</v>
      </c>
      <c r="H165" s="515" t="s">
        <v>442</v>
      </c>
      <c r="I165" s="519">
        <v>71505</v>
      </c>
      <c r="J165" s="465">
        <v>144363.358</v>
      </c>
      <c r="K165" s="466">
        <f>J165*1.1</f>
        <v>158799.6938</v>
      </c>
      <c r="L165" s="462">
        <f t="shared" si="10"/>
        <v>0.9740000000000001</v>
      </c>
      <c r="M165" s="462">
        <f t="shared" si="11"/>
        <v>1.1</v>
      </c>
    </row>
    <row r="166" spans="1:13" s="144" customFormat="1" ht="21" customHeight="1">
      <c r="A166" s="453"/>
      <c r="B166" s="520" t="s">
        <v>86</v>
      </c>
      <c r="C166" s="517" t="s">
        <v>367</v>
      </c>
      <c r="D166" s="517"/>
      <c r="E166" s="517"/>
      <c r="F166" s="517"/>
      <c r="G166" s="465">
        <v>676136</v>
      </c>
      <c r="H166" s="515" t="s">
        <v>442</v>
      </c>
      <c r="I166" s="519">
        <v>345805</v>
      </c>
      <c r="J166" s="465">
        <v>710618.936</v>
      </c>
      <c r="K166" s="466">
        <f>J166*1.05</f>
        <v>746149.8828</v>
      </c>
      <c r="L166" s="462">
        <f t="shared" si="10"/>
        <v>1.051</v>
      </c>
      <c r="M166" s="462">
        <f t="shared" si="11"/>
        <v>1.05</v>
      </c>
    </row>
    <row r="167" spans="1:13" s="144" customFormat="1" ht="30">
      <c r="A167" s="453"/>
      <c r="B167" s="523" t="s">
        <v>87</v>
      </c>
      <c r="C167" s="524" t="s">
        <v>367</v>
      </c>
      <c r="D167" s="524"/>
      <c r="E167" s="524"/>
      <c r="F167" s="524"/>
      <c r="G167" s="465">
        <v>228323</v>
      </c>
      <c r="H167" s="515" t="s">
        <v>442</v>
      </c>
      <c r="I167" s="525">
        <v>148082</v>
      </c>
      <c r="J167" s="465">
        <v>290409</v>
      </c>
      <c r="K167" s="466">
        <f>J167*1.22</f>
        <v>354298.98</v>
      </c>
      <c r="L167" s="462">
        <f t="shared" si="10"/>
        <v>1.2719217950009416</v>
      </c>
      <c r="M167" s="462">
        <f t="shared" si="11"/>
        <v>1.22</v>
      </c>
    </row>
    <row r="168" spans="1:13" s="144" customFormat="1" ht="21" customHeight="1">
      <c r="A168" s="453"/>
      <c r="B168" s="520" t="s">
        <v>88</v>
      </c>
      <c r="C168" s="517" t="s">
        <v>367</v>
      </c>
      <c r="D168" s="517"/>
      <c r="E168" s="517"/>
      <c r="F168" s="517"/>
      <c r="G168" s="465">
        <v>1001812</v>
      </c>
      <c r="H168" s="515" t="s">
        <v>442</v>
      </c>
      <c r="I168" s="519">
        <v>582614</v>
      </c>
      <c r="J168" s="465">
        <v>1214196.144</v>
      </c>
      <c r="K168" s="466">
        <f>J168*1.15</f>
        <v>1396325.5656</v>
      </c>
      <c r="L168" s="462">
        <f t="shared" si="10"/>
        <v>1.2120000000000002</v>
      </c>
      <c r="M168" s="462">
        <f t="shared" si="11"/>
        <v>1.15</v>
      </c>
    </row>
    <row r="169" spans="1:13" s="144" customFormat="1" ht="21" customHeight="1">
      <c r="A169" s="453"/>
      <c r="B169" s="520" t="s">
        <v>89</v>
      </c>
      <c r="C169" s="517" t="s">
        <v>367</v>
      </c>
      <c r="D169" s="517"/>
      <c r="E169" s="517"/>
      <c r="F169" s="517"/>
      <c r="G169" s="465">
        <v>107789</v>
      </c>
      <c r="H169" s="515" t="s">
        <v>442</v>
      </c>
      <c r="I169" s="519">
        <v>81329</v>
      </c>
      <c r="J169" s="465">
        <v>152977</v>
      </c>
      <c r="K169" s="466">
        <f>J169*1.2</f>
        <v>183572.4</v>
      </c>
      <c r="L169" s="462">
        <f t="shared" si="10"/>
        <v>1.4192264516787427</v>
      </c>
      <c r="M169" s="462">
        <f t="shared" si="11"/>
        <v>1.2</v>
      </c>
    </row>
    <row r="170" ht="15.75">
      <c r="K170" s="535"/>
    </row>
  </sheetData>
  <sheetProtection/>
  <mergeCells count="12">
    <mergeCell ref="F5:F6"/>
    <mergeCell ref="D5:D6"/>
    <mergeCell ref="A3:M3"/>
    <mergeCell ref="H5:J5"/>
    <mergeCell ref="K5:K6"/>
    <mergeCell ref="L5:L6"/>
    <mergeCell ref="M5:M6"/>
    <mergeCell ref="A5:A6"/>
    <mergeCell ref="B5:B6"/>
    <mergeCell ref="C5:C6"/>
    <mergeCell ref="G5:G6"/>
    <mergeCell ref="E5:E6"/>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M89"/>
  <sheetViews>
    <sheetView workbookViewId="0" topLeftCell="A4">
      <pane xSplit="2" ySplit="3" topLeftCell="C76" activePane="bottomRight" state="frozen"/>
      <selection pane="topLeft" activeCell="K24" sqref="K24"/>
      <selection pane="topRight" activeCell="K24" sqref="K24"/>
      <selection pane="bottomLeft" activeCell="K24" sqref="K24"/>
      <selection pane="bottomRight" activeCell="G9" sqref="G9"/>
    </sheetView>
  </sheetViews>
  <sheetFormatPr defaultColWidth="9.00390625" defaultRowHeight="15.75"/>
  <cols>
    <col min="1" max="1" width="4.00390625" style="533" customWidth="1"/>
    <col min="2" max="2" width="41.50390625" style="533" customWidth="1"/>
    <col min="3" max="3" width="10.25390625" style="533" bestFit="1" customWidth="1"/>
    <col min="4" max="5" width="11.00390625" style="533" customWidth="1"/>
    <col min="6" max="6" width="11.00390625" style="533" hidden="1" customWidth="1"/>
    <col min="7" max="8" width="11.00390625" style="533" customWidth="1"/>
    <col min="9" max="9" width="12.50390625" style="533" customWidth="1"/>
    <col min="10" max="10" width="12.125" style="533" customWidth="1"/>
    <col min="11" max="11" width="27.625" style="533" customWidth="1"/>
    <col min="12" max="16384" width="9.00390625" style="533" customWidth="1"/>
  </cols>
  <sheetData>
    <row r="1" spans="1:10" ht="15.75">
      <c r="A1" s="527" t="s">
        <v>1072</v>
      </c>
      <c r="B1" s="527"/>
      <c r="C1" s="527"/>
      <c r="D1" s="527"/>
      <c r="E1" s="527"/>
      <c r="F1" s="527"/>
      <c r="G1" s="527"/>
      <c r="H1" s="536"/>
      <c r="I1" s="536"/>
      <c r="J1" s="537" t="s">
        <v>291</v>
      </c>
    </row>
    <row r="2" ht="15.75"/>
    <row r="3" spans="1:10" ht="15.75">
      <c r="A3" s="852" t="s">
        <v>185</v>
      </c>
      <c r="B3" s="852"/>
      <c r="C3" s="852"/>
      <c r="D3" s="852"/>
      <c r="E3" s="852"/>
      <c r="F3" s="852"/>
      <c r="G3" s="852"/>
      <c r="H3" s="852"/>
      <c r="I3" s="852"/>
      <c r="J3" s="852"/>
    </row>
    <row r="4" spans="8:10" ht="15.75">
      <c r="H4" s="538"/>
      <c r="I4" s="538"/>
      <c r="J4" s="538"/>
    </row>
    <row r="5" spans="1:10" s="530" customFormat="1" ht="26.25" customHeight="1">
      <c r="A5" s="853" t="s">
        <v>1035</v>
      </c>
      <c r="B5" s="853" t="s">
        <v>1036</v>
      </c>
      <c r="C5" s="853" t="s">
        <v>1037</v>
      </c>
      <c r="D5" s="853" t="s">
        <v>640</v>
      </c>
      <c r="E5" s="853" t="s">
        <v>641</v>
      </c>
      <c r="F5" s="853"/>
      <c r="G5" s="853"/>
      <c r="H5" s="853" t="s">
        <v>642</v>
      </c>
      <c r="I5" s="853" t="s">
        <v>643</v>
      </c>
      <c r="J5" s="853" t="s">
        <v>644</v>
      </c>
    </row>
    <row r="6" spans="1:10" s="530" customFormat="1" ht="57" customHeight="1">
      <c r="A6" s="853"/>
      <c r="B6" s="853"/>
      <c r="C6" s="853"/>
      <c r="D6" s="853"/>
      <c r="E6" s="486" t="s">
        <v>163</v>
      </c>
      <c r="F6" s="486" t="s">
        <v>161</v>
      </c>
      <c r="G6" s="486" t="s">
        <v>95</v>
      </c>
      <c r="H6" s="853"/>
      <c r="I6" s="853"/>
      <c r="J6" s="853"/>
    </row>
    <row r="7" spans="1:10" s="539" customFormat="1" ht="18" customHeight="1">
      <c r="A7" s="452">
        <v>1</v>
      </c>
      <c r="B7" s="452">
        <v>2</v>
      </c>
      <c r="C7" s="452">
        <v>3</v>
      </c>
      <c r="D7" s="452">
        <v>4</v>
      </c>
      <c r="E7" s="452">
        <v>5</v>
      </c>
      <c r="F7" s="452">
        <v>6</v>
      </c>
      <c r="G7" s="452">
        <v>7</v>
      </c>
      <c r="H7" s="452">
        <v>8</v>
      </c>
      <c r="I7" s="452" t="s">
        <v>1228</v>
      </c>
      <c r="J7" s="452" t="s">
        <v>1229</v>
      </c>
    </row>
    <row r="8" spans="1:10" s="527" customFormat="1" ht="18.75" customHeight="1">
      <c r="A8" s="501" t="s">
        <v>1077</v>
      </c>
      <c r="B8" s="327" t="s">
        <v>152</v>
      </c>
      <c r="C8" s="540"/>
      <c r="D8" s="454"/>
      <c r="E8" s="454"/>
      <c r="F8" s="454"/>
      <c r="G8" s="454"/>
      <c r="H8" s="454"/>
      <c r="I8" s="454"/>
      <c r="J8" s="454"/>
    </row>
    <row r="9" spans="1:10" ht="21" customHeight="1">
      <c r="A9" s="541"/>
      <c r="B9" s="479" t="s">
        <v>123</v>
      </c>
      <c r="C9" s="486" t="s">
        <v>1116</v>
      </c>
      <c r="D9" s="542">
        <v>2768672</v>
      </c>
      <c r="E9" s="136">
        <v>2822607</v>
      </c>
      <c r="F9" s="136">
        <v>2822607</v>
      </c>
      <c r="G9" s="837">
        <v>2822607</v>
      </c>
      <c r="H9" s="837">
        <v>2910000</v>
      </c>
      <c r="I9" s="543">
        <f>G9/D9*100</f>
        <v>101.94804585014043</v>
      </c>
      <c r="J9" s="543">
        <f>H9/G9*100</f>
        <v>103.09618023337998</v>
      </c>
    </row>
    <row r="10" spans="1:10" s="532" customFormat="1" ht="21" customHeight="1">
      <c r="A10" s="331"/>
      <c r="B10" s="479" t="s">
        <v>995</v>
      </c>
      <c r="C10" s="460" t="s">
        <v>1040</v>
      </c>
      <c r="D10" s="544">
        <f>D9/2716290*100-100</f>
        <v>1.9284391578218845</v>
      </c>
      <c r="E10" s="544">
        <f>E9/D9*100-100</f>
        <v>1.9480458501404314</v>
      </c>
      <c r="F10" s="544">
        <f>F9/D9*100-100</f>
        <v>1.9480458501404314</v>
      </c>
      <c r="G10" s="544">
        <f>G9/D9*100-100</f>
        <v>1.9480458501404314</v>
      </c>
      <c r="H10" s="544">
        <f>H9/G9*100-100</f>
        <v>3.0961802333799824</v>
      </c>
      <c r="I10" s="489"/>
      <c r="J10" s="489"/>
    </row>
    <row r="11" spans="1:10" s="532" customFormat="1" ht="21" customHeight="1">
      <c r="A11" s="545"/>
      <c r="B11" s="546" t="s">
        <v>996</v>
      </c>
      <c r="C11" s="547" t="s">
        <v>1040</v>
      </c>
      <c r="D11" s="460">
        <v>1.2</v>
      </c>
      <c r="E11" s="489" t="s">
        <v>533</v>
      </c>
      <c r="F11" s="489" t="s">
        <v>533</v>
      </c>
      <c r="G11" s="489" t="s">
        <v>533</v>
      </c>
      <c r="H11" s="548" t="s">
        <v>533</v>
      </c>
      <c r="I11" s="135"/>
      <c r="J11" s="135"/>
    </row>
    <row r="12" spans="1:10" s="532" customFormat="1" ht="21" customHeight="1">
      <c r="A12" s="541"/>
      <c r="B12" s="479" t="s">
        <v>124</v>
      </c>
      <c r="C12" s="460" t="s">
        <v>1067</v>
      </c>
      <c r="D12" s="460">
        <v>1.3</v>
      </c>
      <c r="E12" s="489">
        <v>0.05</v>
      </c>
      <c r="F12" s="489">
        <v>0.05</v>
      </c>
      <c r="G12" s="489">
        <v>0.05</v>
      </c>
      <c r="H12" s="489">
        <v>0.05</v>
      </c>
      <c r="I12" s="489"/>
      <c r="J12" s="489"/>
    </row>
    <row r="13" spans="1:10" s="532" customFormat="1" ht="31.5" customHeight="1">
      <c r="A13" s="541"/>
      <c r="B13" s="479" t="s">
        <v>125</v>
      </c>
      <c r="C13" s="460"/>
      <c r="D13" s="460">
        <v>113.4</v>
      </c>
      <c r="E13" s="489">
        <v>113</v>
      </c>
      <c r="F13" s="489">
        <v>113</v>
      </c>
      <c r="G13" s="489">
        <v>113</v>
      </c>
      <c r="H13" s="135">
        <v>113</v>
      </c>
      <c r="I13" s="489"/>
      <c r="J13" s="489"/>
    </row>
    <row r="14" spans="1:10" s="532" customFormat="1" ht="21" customHeight="1">
      <c r="A14" s="541"/>
      <c r="B14" s="479" t="s">
        <v>126</v>
      </c>
      <c r="C14" s="460" t="s">
        <v>104</v>
      </c>
      <c r="D14" s="135">
        <v>76</v>
      </c>
      <c r="E14" s="135">
        <v>76</v>
      </c>
      <c r="F14" s="135">
        <v>76</v>
      </c>
      <c r="G14" s="135">
        <v>76</v>
      </c>
      <c r="H14" s="135">
        <v>76</v>
      </c>
      <c r="I14" s="489"/>
      <c r="J14" s="489"/>
    </row>
    <row r="15" spans="1:10" s="527" customFormat="1" ht="24" customHeight="1">
      <c r="A15" s="540" t="s">
        <v>1080</v>
      </c>
      <c r="B15" s="327" t="s">
        <v>151</v>
      </c>
      <c r="C15" s="540"/>
      <c r="D15" s="540"/>
      <c r="E15" s="540"/>
      <c r="F15" s="540"/>
      <c r="G15" s="540"/>
      <c r="H15" s="540"/>
      <c r="I15" s="454"/>
      <c r="J15" s="454"/>
    </row>
    <row r="16" spans="1:11" ht="15.75">
      <c r="A16" s="463"/>
      <c r="B16" s="479" t="s">
        <v>127</v>
      </c>
      <c r="C16" s="486" t="s">
        <v>1116</v>
      </c>
      <c r="D16" s="549">
        <v>1474883</v>
      </c>
      <c r="E16" s="549">
        <v>1494758</v>
      </c>
      <c r="F16" s="550" t="s">
        <v>442</v>
      </c>
      <c r="G16" s="549">
        <v>1494758</v>
      </c>
      <c r="H16" s="136">
        <v>1529000</v>
      </c>
      <c r="I16" s="551">
        <f>G16/D16*100</f>
        <v>101.34756451867707</v>
      </c>
      <c r="J16" s="551">
        <f>H16/G16*100</f>
        <v>102.29080560197706</v>
      </c>
      <c r="K16" s="552"/>
    </row>
    <row r="17" spans="1:10" ht="15.75">
      <c r="A17" s="463"/>
      <c r="B17" s="479" t="s">
        <v>128</v>
      </c>
      <c r="C17" s="486" t="s">
        <v>1116</v>
      </c>
      <c r="D17" s="549">
        <v>92294</v>
      </c>
      <c r="E17" s="549">
        <v>90000</v>
      </c>
      <c r="F17" s="549">
        <v>45987</v>
      </c>
      <c r="G17" s="549">
        <v>90000</v>
      </c>
      <c r="H17" s="136">
        <v>90000</v>
      </c>
      <c r="I17" s="553">
        <f>G17/D17*100</f>
        <v>97.5144646455891</v>
      </c>
      <c r="J17" s="481"/>
    </row>
    <row r="18" spans="1:10" ht="15.75">
      <c r="A18" s="463"/>
      <c r="B18" s="485" t="s">
        <v>975</v>
      </c>
      <c r="C18" s="486" t="s">
        <v>1116</v>
      </c>
      <c r="D18" s="549">
        <v>53594</v>
      </c>
      <c r="E18" s="549">
        <v>51300</v>
      </c>
      <c r="F18" s="550" t="s">
        <v>442</v>
      </c>
      <c r="G18" s="549">
        <v>51300</v>
      </c>
      <c r="H18" s="136">
        <v>63000</v>
      </c>
      <c r="I18" s="553"/>
      <c r="J18" s="136"/>
    </row>
    <row r="19" spans="1:10" ht="31.5">
      <c r="A19" s="463"/>
      <c r="B19" s="479" t="s">
        <v>129</v>
      </c>
      <c r="C19" s="486" t="s">
        <v>1116</v>
      </c>
      <c r="D19" s="554">
        <v>90</v>
      </c>
      <c r="E19" s="555">
        <v>200</v>
      </c>
      <c r="F19" s="556" t="s">
        <v>442</v>
      </c>
      <c r="G19" s="555">
        <v>200</v>
      </c>
      <c r="H19" s="136">
        <v>100</v>
      </c>
      <c r="I19" s="553"/>
      <c r="J19" s="481"/>
    </row>
    <row r="20" spans="1:10" ht="31.5">
      <c r="A20" s="460"/>
      <c r="B20" s="479" t="s">
        <v>130</v>
      </c>
      <c r="C20" s="460" t="s">
        <v>1040</v>
      </c>
      <c r="D20" s="555">
        <v>60</v>
      </c>
      <c r="E20" s="555">
        <v>62</v>
      </c>
      <c r="F20" s="556" t="s">
        <v>442</v>
      </c>
      <c r="G20" s="555">
        <v>62</v>
      </c>
      <c r="H20" s="365">
        <v>65</v>
      </c>
      <c r="I20" s="557"/>
      <c r="J20" s="481"/>
    </row>
    <row r="21" spans="1:10" ht="31.5">
      <c r="A21" s="460"/>
      <c r="B21" s="479" t="s">
        <v>906</v>
      </c>
      <c r="C21" s="460" t="s">
        <v>1040</v>
      </c>
      <c r="D21" s="555">
        <v>46</v>
      </c>
      <c r="E21" s="555">
        <v>48</v>
      </c>
      <c r="F21" s="556" t="s">
        <v>442</v>
      </c>
      <c r="G21" s="555">
        <v>48</v>
      </c>
      <c r="H21" s="365">
        <v>50</v>
      </c>
      <c r="I21" s="557"/>
      <c r="J21" s="481"/>
    </row>
    <row r="22" spans="1:10" s="527" customFormat="1" ht="24" customHeight="1">
      <c r="A22" s="540" t="s">
        <v>1121</v>
      </c>
      <c r="B22" s="327" t="s">
        <v>149</v>
      </c>
      <c r="C22" s="540"/>
      <c r="D22" s="540"/>
      <c r="E22" s="540"/>
      <c r="F22" s="540"/>
      <c r="G22" s="540"/>
      <c r="H22" s="540"/>
      <c r="I22" s="454"/>
      <c r="J22" s="454"/>
    </row>
    <row r="23" spans="1:10" s="532" customFormat="1" ht="15.75">
      <c r="A23" s="541"/>
      <c r="B23" s="479" t="s">
        <v>131</v>
      </c>
      <c r="C23" s="486" t="s">
        <v>1073</v>
      </c>
      <c r="D23" s="549">
        <v>715870</v>
      </c>
      <c r="E23" s="365">
        <v>731105</v>
      </c>
      <c r="F23" s="365">
        <v>731105</v>
      </c>
      <c r="G23" s="365">
        <v>731105</v>
      </c>
      <c r="H23" s="136">
        <v>751804</v>
      </c>
      <c r="I23" s="543">
        <f>G23/D23*100</f>
        <v>102.1281796974311</v>
      </c>
      <c r="J23" s="543">
        <f>H23/G23*100</f>
        <v>102.83119387776038</v>
      </c>
    </row>
    <row r="24" spans="1:13" s="559" customFormat="1" ht="15.75">
      <c r="A24" s="361"/>
      <c r="B24" s="362" t="s">
        <v>164</v>
      </c>
      <c r="C24" s="486" t="s">
        <v>1073</v>
      </c>
      <c r="D24" s="558">
        <v>20825</v>
      </c>
      <c r="E24" s="558">
        <v>13778</v>
      </c>
      <c r="F24" s="363" t="s">
        <v>442</v>
      </c>
      <c r="G24" s="558">
        <v>13778</v>
      </c>
      <c r="H24" s="136">
        <v>56000</v>
      </c>
      <c r="I24" s="543"/>
      <c r="J24" s="489"/>
      <c r="K24" s="532"/>
      <c r="L24" s="532"/>
      <c r="M24" s="532"/>
    </row>
    <row r="25" spans="1:13" s="559" customFormat="1" ht="15.75">
      <c r="A25" s="361"/>
      <c r="B25" s="362" t="s">
        <v>280</v>
      </c>
      <c r="C25" s="361" t="s">
        <v>1040</v>
      </c>
      <c r="D25" s="363">
        <v>2.91</v>
      </c>
      <c r="E25" s="560">
        <v>1.9</v>
      </c>
      <c r="F25" s="363" t="s">
        <v>442</v>
      </c>
      <c r="G25" s="560">
        <v>1.9</v>
      </c>
      <c r="H25" s="363">
        <v>6.65</v>
      </c>
      <c r="I25" s="363"/>
      <c r="J25" s="489"/>
      <c r="K25" s="532"/>
      <c r="L25" s="532"/>
      <c r="M25" s="532"/>
    </row>
    <row r="26" spans="1:13" s="559" customFormat="1" ht="15.75">
      <c r="A26" s="361"/>
      <c r="B26" s="364" t="s">
        <v>281</v>
      </c>
      <c r="C26" s="486" t="s">
        <v>1073</v>
      </c>
      <c r="D26" s="363" t="s">
        <v>442</v>
      </c>
      <c r="E26" s="363" t="s">
        <v>442</v>
      </c>
      <c r="F26" s="363" t="s">
        <v>442</v>
      </c>
      <c r="G26" s="363" t="s">
        <v>442</v>
      </c>
      <c r="H26" s="363"/>
      <c r="I26" s="363"/>
      <c r="J26" s="489"/>
      <c r="K26" s="532"/>
      <c r="L26" s="532"/>
      <c r="M26" s="532"/>
    </row>
    <row r="27" spans="1:13" s="559" customFormat="1" ht="15.75">
      <c r="A27" s="361"/>
      <c r="B27" s="362" t="s">
        <v>282</v>
      </c>
      <c r="C27" s="361" t="s">
        <v>1040</v>
      </c>
      <c r="D27" s="363">
        <v>1.05</v>
      </c>
      <c r="E27" s="363">
        <v>0.83</v>
      </c>
      <c r="F27" s="363" t="s">
        <v>442</v>
      </c>
      <c r="G27" s="363">
        <v>0.83</v>
      </c>
      <c r="H27" s="363">
        <v>1</v>
      </c>
      <c r="I27" s="363"/>
      <c r="J27" s="489"/>
      <c r="K27" s="532"/>
      <c r="L27" s="532"/>
      <c r="M27" s="532"/>
    </row>
    <row r="28" spans="1:13" s="559" customFormat="1" ht="15.75">
      <c r="A28" s="361"/>
      <c r="B28" s="362" t="s">
        <v>283</v>
      </c>
      <c r="C28" s="486" t="s">
        <v>1073</v>
      </c>
      <c r="D28" s="558">
        <v>6307</v>
      </c>
      <c r="E28" s="558">
        <v>3096</v>
      </c>
      <c r="F28" s="561" t="s">
        <v>442</v>
      </c>
      <c r="G28" s="558">
        <v>3096</v>
      </c>
      <c r="H28" s="136">
        <v>24000</v>
      </c>
      <c r="I28" s="543"/>
      <c r="J28" s="489"/>
      <c r="K28" s="532"/>
      <c r="L28" s="532"/>
      <c r="M28" s="532"/>
    </row>
    <row r="29" spans="1:13" s="559" customFormat="1" ht="15.75">
      <c r="A29" s="361"/>
      <c r="B29" s="362" t="s">
        <v>284</v>
      </c>
      <c r="C29" s="361" t="s">
        <v>1040</v>
      </c>
      <c r="D29" s="560">
        <f>D28/D23*100</f>
        <v>0.8810258845879838</v>
      </c>
      <c r="E29" s="560">
        <f>E28/E23*100</f>
        <v>0.4234685852237367</v>
      </c>
      <c r="F29" s="363" t="s">
        <v>442</v>
      </c>
      <c r="G29" s="363">
        <v>0.42</v>
      </c>
      <c r="H29" s="562">
        <v>3.19</v>
      </c>
      <c r="I29" s="562"/>
      <c r="J29" s="489"/>
      <c r="K29" s="532"/>
      <c r="L29" s="532"/>
      <c r="M29" s="532"/>
    </row>
    <row r="30" spans="1:13" s="559" customFormat="1" ht="15.75">
      <c r="A30" s="361"/>
      <c r="B30" s="362" t="s">
        <v>285</v>
      </c>
      <c r="C30" s="486" t="s">
        <v>1073</v>
      </c>
      <c r="D30" s="558">
        <v>7677</v>
      </c>
      <c r="E30" s="558">
        <v>6000</v>
      </c>
      <c r="F30" s="561" t="s">
        <v>442</v>
      </c>
      <c r="G30" s="558">
        <v>6000</v>
      </c>
      <c r="H30" s="136">
        <v>5000</v>
      </c>
      <c r="I30" s="543"/>
      <c r="J30" s="489"/>
      <c r="K30" s="532"/>
      <c r="L30" s="532"/>
      <c r="M30" s="532"/>
    </row>
    <row r="31" spans="1:13" s="559" customFormat="1" ht="15.75">
      <c r="A31" s="361"/>
      <c r="B31" s="362" t="s">
        <v>286</v>
      </c>
      <c r="C31" s="486" t="s">
        <v>1073</v>
      </c>
      <c r="D31" s="363" t="s">
        <v>442</v>
      </c>
      <c r="E31" s="363" t="s">
        <v>442</v>
      </c>
      <c r="F31" s="363" t="s">
        <v>442</v>
      </c>
      <c r="G31" s="363" t="s">
        <v>442</v>
      </c>
      <c r="H31" s="363"/>
      <c r="I31" s="363"/>
      <c r="J31" s="489"/>
      <c r="K31" s="532"/>
      <c r="L31" s="532"/>
      <c r="M31" s="532"/>
    </row>
    <row r="32" spans="1:10" s="527" customFormat="1" ht="36" customHeight="1">
      <c r="A32" s="540" t="s">
        <v>1139</v>
      </c>
      <c r="B32" s="327" t="s">
        <v>150</v>
      </c>
      <c r="C32" s="453"/>
      <c r="D32" s="454"/>
      <c r="E32" s="454"/>
      <c r="F32" s="454"/>
      <c r="G32" s="454"/>
      <c r="H32" s="454"/>
      <c r="I32" s="454"/>
      <c r="J32" s="454"/>
    </row>
    <row r="33" spans="1:10" s="527" customFormat="1" ht="15.75">
      <c r="A33" s="460"/>
      <c r="B33" s="479" t="s">
        <v>132</v>
      </c>
      <c r="C33" s="460" t="s">
        <v>1041</v>
      </c>
      <c r="D33" s="555">
        <v>171</v>
      </c>
      <c r="E33" s="555">
        <v>171</v>
      </c>
      <c r="F33" s="555">
        <v>171</v>
      </c>
      <c r="G33" s="555">
        <v>171</v>
      </c>
      <c r="H33" s="543">
        <v>171</v>
      </c>
      <c r="I33" s="543"/>
      <c r="J33" s="454"/>
    </row>
    <row r="34" spans="1:10" ht="15.75">
      <c r="A34" s="460"/>
      <c r="B34" s="487" t="s">
        <v>1049</v>
      </c>
      <c r="C34" s="460"/>
      <c r="D34" s="555"/>
      <c r="E34" s="555"/>
      <c r="F34" s="555"/>
      <c r="G34" s="555"/>
      <c r="H34" s="543"/>
      <c r="I34" s="543"/>
      <c r="J34" s="481"/>
    </row>
    <row r="35" spans="1:10" s="532" customFormat="1" ht="31.5">
      <c r="A35" s="331"/>
      <c r="B35" s="479" t="s">
        <v>167</v>
      </c>
      <c r="C35" s="460" t="s">
        <v>1041</v>
      </c>
      <c r="D35" s="365">
        <v>34</v>
      </c>
      <c r="E35" s="555">
        <v>34.3</v>
      </c>
      <c r="F35" s="555" t="s">
        <v>442</v>
      </c>
      <c r="G35" s="555">
        <v>34.3</v>
      </c>
      <c r="H35" s="555">
        <v>34.6</v>
      </c>
      <c r="I35" s="555"/>
      <c r="J35" s="489"/>
    </row>
    <row r="36" spans="1:10" s="532" customFormat="1" ht="15.75">
      <c r="A36" s="460"/>
      <c r="B36" s="479" t="s">
        <v>168</v>
      </c>
      <c r="C36" s="460" t="s">
        <v>1041</v>
      </c>
      <c r="D36" s="365">
        <v>171</v>
      </c>
      <c r="E36" s="365">
        <v>171</v>
      </c>
      <c r="F36" s="365">
        <f aca="true" t="shared" si="0" ref="F36:G43">E36</f>
        <v>171</v>
      </c>
      <c r="G36" s="365">
        <f t="shared" si="0"/>
        <v>171</v>
      </c>
      <c r="H36" s="365">
        <f aca="true" t="shared" si="1" ref="H36:H43">G36</f>
        <v>171</v>
      </c>
      <c r="I36" s="543"/>
      <c r="J36" s="489"/>
    </row>
    <row r="37" spans="1:10" s="532" customFormat="1" ht="15.75">
      <c r="A37" s="460"/>
      <c r="B37" s="479" t="s">
        <v>169</v>
      </c>
      <c r="C37" s="331" t="s">
        <v>1040</v>
      </c>
      <c r="D37" s="365">
        <v>100</v>
      </c>
      <c r="E37" s="365">
        <v>100</v>
      </c>
      <c r="F37" s="365">
        <f t="shared" si="0"/>
        <v>100</v>
      </c>
      <c r="G37" s="365">
        <f t="shared" si="0"/>
        <v>100</v>
      </c>
      <c r="H37" s="365">
        <f t="shared" si="1"/>
        <v>100</v>
      </c>
      <c r="I37" s="562"/>
      <c r="J37" s="489"/>
    </row>
    <row r="38" spans="1:10" ht="15.75">
      <c r="A38" s="460"/>
      <c r="B38" s="479" t="s">
        <v>170</v>
      </c>
      <c r="C38" s="460" t="s">
        <v>1041</v>
      </c>
      <c r="D38" s="365">
        <v>171</v>
      </c>
      <c r="E38" s="365">
        <v>171</v>
      </c>
      <c r="F38" s="365">
        <f t="shared" si="0"/>
        <v>171</v>
      </c>
      <c r="G38" s="365">
        <f t="shared" si="0"/>
        <v>171</v>
      </c>
      <c r="H38" s="365">
        <f t="shared" si="1"/>
        <v>171</v>
      </c>
      <c r="I38" s="543"/>
      <c r="J38" s="481"/>
    </row>
    <row r="39" spans="1:10" s="532" customFormat="1" ht="15.75">
      <c r="A39" s="460"/>
      <c r="B39" s="479" t="s">
        <v>171</v>
      </c>
      <c r="C39" s="331" t="s">
        <v>1040</v>
      </c>
      <c r="D39" s="365">
        <v>100</v>
      </c>
      <c r="E39" s="365">
        <v>100</v>
      </c>
      <c r="F39" s="365">
        <f t="shared" si="0"/>
        <v>100</v>
      </c>
      <c r="G39" s="365">
        <f t="shared" si="0"/>
        <v>100</v>
      </c>
      <c r="H39" s="365">
        <f t="shared" si="1"/>
        <v>100</v>
      </c>
      <c r="I39" s="562"/>
      <c r="J39" s="489"/>
    </row>
    <row r="40" spans="1:10" ht="15.75">
      <c r="A40" s="460"/>
      <c r="B40" s="479" t="s">
        <v>172</v>
      </c>
      <c r="C40" s="460" t="s">
        <v>1041</v>
      </c>
      <c r="D40" s="365">
        <v>171</v>
      </c>
      <c r="E40" s="365">
        <v>171</v>
      </c>
      <c r="F40" s="365">
        <f t="shared" si="0"/>
        <v>171</v>
      </c>
      <c r="G40" s="365">
        <f t="shared" si="0"/>
        <v>171</v>
      </c>
      <c r="H40" s="365">
        <f t="shared" si="1"/>
        <v>171</v>
      </c>
      <c r="I40" s="543"/>
      <c r="J40" s="481"/>
    </row>
    <row r="41" spans="1:10" ht="15.75">
      <c r="A41" s="460"/>
      <c r="B41" s="479" t="s">
        <v>173</v>
      </c>
      <c r="C41" s="331" t="s">
        <v>1040</v>
      </c>
      <c r="D41" s="365">
        <v>100</v>
      </c>
      <c r="E41" s="365">
        <v>100</v>
      </c>
      <c r="F41" s="365">
        <f t="shared" si="0"/>
        <v>100</v>
      </c>
      <c r="G41" s="365">
        <f t="shared" si="0"/>
        <v>100</v>
      </c>
      <c r="H41" s="365">
        <f t="shared" si="1"/>
        <v>100</v>
      </c>
      <c r="I41" s="562"/>
      <c r="J41" s="481"/>
    </row>
    <row r="42" spans="1:10" ht="15.75">
      <c r="A42" s="460"/>
      <c r="B42" s="479" t="s">
        <v>174</v>
      </c>
      <c r="C42" s="460" t="s">
        <v>1041</v>
      </c>
      <c r="D42" s="365">
        <v>171</v>
      </c>
      <c r="E42" s="365">
        <v>171</v>
      </c>
      <c r="F42" s="365">
        <f t="shared" si="0"/>
        <v>171</v>
      </c>
      <c r="G42" s="365">
        <f t="shared" si="0"/>
        <v>171</v>
      </c>
      <c r="H42" s="365">
        <f t="shared" si="1"/>
        <v>171</v>
      </c>
      <c r="I42" s="543"/>
      <c r="J42" s="481"/>
    </row>
    <row r="43" spans="1:10" ht="15.75">
      <c r="A43" s="460"/>
      <c r="B43" s="479" t="s">
        <v>179</v>
      </c>
      <c r="C43" s="331" t="s">
        <v>1040</v>
      </c>
      <c r="D43" s="365">
        <v>100</v>
      </c>
      <c r="E43" s="365">
        <v>100</v>
      </c>
      <c r="F43" s="365">
        <f t="shared" si="0"/>
        <v>100</v>
      </c>
      <c r="G43" s="365">
        <f t="shared" si="0"/>
        <v>100</v>
      </c>
      <c r="H43" s="365">
        <f t="shared" si="1"/>
        <v>100</v>
      </c>
      <c r="I43" s="562"/>
      <c r="J43" s="481"/>
    </row>
    <row r="44" spans="1:10" ht="15.75">
      <c r="A44" s="460"/>
      <c r="B44" s="479" t="s">
        <v>166</v>
      </c>
      <c r="C44" s="460" t="s">
        <v>1073</v>
      </c>
      <c r="D44" s="365" t="s">
        <v>442</v>
      </c>
      <c r="E44" s="365" t="s">
        <v>442</v>
      </c>
      <c r="F44" s="365" t="s">
        <v>442</v>
      </c>
      <c r="G44" s="365" t="s">
        <v>442</v>
      </c>
      <c r="H44" s="365"/>
      <c r="I44" s="365"/>
      <c r="J44" s="481"/>
    </row>
    <row r="45" spans="1:10" ht="15.75">
      <c r="A45" s="460"/>
      <c r="B45" s="479" t="s">
        <v>148</v>
      </c>
      <c r="C45" s="460" t="s">
        <v>1040</v>
      </c>
      <c r="D45" s="563">
        <v>99.72</v>
      </c>
      <c r="E45" s="563">
        <v>99.76</v>
      </c>
      <c r="F45" s="555">
        <v>99.74</v>
      </c>
      <c r="G45" s="555">
        <v>99.76</v>
      </c>
      <c r="H45" s="555">
        <v>99.76</v>
      </c>
      <c r="I45" s="365"/>
      <c r="J45" s="481"/>
    </row>
    <row r="46" spans="1:10" ht="31.5">
      <c r="A46" s="460"/>
      <c r="B46" s="479" t="s">
        <v>192</v>
      </c>
      <c r="C46" s="460" t="s">
        <v>1040</v>
      </c>
      <c r="D46" s="564">
        <v>93.8</v>
      </c>
      <c r="E46" s="564">
        <v>94.4</v>
      </c>
      <c r="F46" s="564">
        <v>94.4</v>
      </c>
      <c r="G46" s="555">
        <v>94.4</v>
      </c>
      <c r="H46" s="565">
        <v>95</v>
      </c>
      <c r="I46" s="562"/>
      <c r="J46" s="481"/>
    </row>
    <row r="47" spans="1:10" ht="15.75">
      <c r="A47" s="460"/>
      <c r="B47" s="479" t="s">
        <v>178</v>
      </c>
      <c r="C47" s="460" t="s">
        <v>176</v>
      </c>
      <c r="D47" s="756">
        <f>(D46/100)*(D23*0.66)</f>
        <v>443180.79959999997</v>
      </c>
      <c r="E47" s="756">
        <f>(E46/100)*(E23*0.657)</f>
        <v>453437.16984000005</v>
      </c>
      <c r="F47" s="756">
        <f>(F46/100)*(F23*0.657)</f>
        <v>453437.16984000005</v>
      </c>
      <c r="G47" s="756">
        <f>(G46/100)*(G23*0.657)</f>
        <v>453437.16984000005</v>
      </c>
      <c r="H47" s="756">
        <f>(H46/100)*(H23*0.654)</f>
        <v>467095.82519999996</v>
      </c>
      <c r="I47" s="562"/>
      <c r="J47" s="481"/>
    </row>
    <row r="48" spans="1:10" ht="31.5">
      <c r="A48" s="460"/>
      <c r="B48" s="479" t="s">
        <v>193</v>
      </c>
      <c r="C48" s="460" t="s">
        <v>1040</v>
      </c>
      <c r="D48" s="564">
        <v>97.9</v>
      </c>
      <c r="E48" s="564">
        <v>98.6</v>
      </c>
      <c r="F48" s="555">
        <v>98.2</v>
      </c>
      <c r="G48" s="555">
        <v>98.6</v>
      </c>
      <c r="H48" s="565">
        <v>99</v>
      </c>
      <c r="I48" s="562"/>
      <c r="J48" s="481"/>
    </row>
    <row r="49" spans="1:10" ht="15.75">
      <c r="A49" s="460"/>
      <c r="B49" s="479" t="s">
        <v>175</v>
      </c>
      <c r="C49" s="460" t="s">
        <v>176</v>
      </c>
      <c r="D49" s="756">
        <f>(D48/100)*(D23*0.34)</f>
        <v>238284.48820000005</v>
      </c>
      <c r="E49" s="756">
        <f>(E48/100)*(E23*0.343)</f>
        <v>247258.24879</v>
      </c>
      <c r="F49" s="756">
        <f>(F48/100)*(F23*0.343)</f>
        <v>246255.17273000002</v>
      </c>
      <c r="G49" s="756">
        <f>(G48/100)*(G23*0.343)</f>
        <v>247258.24879</v>
      </c>
      <c r="H49" s="756">
        <f>(H48/100)*(H23*0.346)</f>
        <v>257522.94215999998</v>
      </c>
      <c r="I49" s="562"/>
      <c r="J49" s="481"/>
    </row>
    <row r="50" spans="1:10" s="527" customFormat="1" ht="23.25" customHeight="1">
      <c r="A50" s="540" t="s">
        <v>1177</v>
      </c>
      <c r="B50" s="327" t="s">
        <v>146</v>
      </c>
      <c r="C50" s="453"/>
      <c r="D50" s="454"/>
      <c r="E50" s="454"/>
      <c r="F50" s="454"/>
      <c r="G50" s="454"/>
      <c r="H50" s="454"/>
      <c r="I50" s="454"/>
      <c r="J50" s="454"/>
    </row>
    <row r="51" spans="1:10" s="527" customFormat="1" ht="15.75">
      <c r="A51" s="540"/>
      <c r="B51" s="479" t="s">
        <v>90</v>
      </c>
      <c r="C51" s="460" t="s">
        <v>1040</v>
      </c>
      <c r="D51" s="565">
        <v>65</v>
      </c>
      <c r="E51" s="565">
        <v>67</v>
      </c>
      <c r="F51" s="565">
        <v>65.5</v>
      </c>
      <c r="G51" s="565">
        <v>67</v>
      </c>
      <c r="H51" s="557">
        <v>70</v>
      </c>
      <c r="I51" s="557">
        <f>G51/D51*100</f>
        <v>103.07692307692307</v>
      </c>
      <c r="J51" s="557">
        <f>H51/E51*100</f>
        <v>104.4776119402985</v>
      </c>
    </row>
    <row r="52" spans="1:10" s="527" customFormat="1" ht="31.5">
      <c r="A52" s="540"/>
      <c r="B52" s="479" t="s">
        <v>194</v>
      </c>
      <c r="C52" s="460" t="s">
        <v>1116</v>
      </c>
      <c r="D52" s="555" t="s">
        <v>442</v>
      </c>
      <c r="E52" s="555" t="s">
        <v>442</v>
      </c>
      <c r="F52" s="555" t="s">
        <v>442</v>
      </c>
      <c r="G52" s="555" t="s">
        <v>442</v>
      </c>
      <c r="H52" s="555"/>
      <c r="I52" s="557"/>
      <c r="J52" s="557"/>
    </row>
    <row r="53" spans="1:10" ht="31.5">
      <c r="A53" s="463"/>
      <c r="B53" s="479" t="s">
        <v>133</v>
      </c>
      <c r="C53" s="460" t="s">
        <v>1075</v>
      </c>
      <c r="D53" s="566">
        <v>23.5</v>
      </c>
      <c r="E53" s="566">
        <v>24.5</v>
      </c>
      <c r="F53" s="566">
        <v>24.5</v>
      </c>
      <c r="G53" s="566">
        <v>24.5</v>
      </c>
      <c r="H53" s="553">
        <v>26</v>
      </c>
      <c r="I53" s="557">
        <f>G53/D53*100</f>
        <v>104.25531914893618</v>
      </c>
      <c r="J53" s="557">
        <f>H53/E53*100</f>
        <v>106.12244897959184</v>
      </c>
    </row>
    <row r="54" spans="1:10" ht="15.75">
      <c r="A54" s="463"/>
      <c r="B54" s="479" t="s">
        <v>134</v>
      </c>
      <c r="C54" s="460" t="s">
        <v>1076</v>
      </c>
      <c r="D54" s="555">
        <v>6.5</v>
      </c>
      <c r="E54" s="555">
        <v>6.7</v>
      </c>
      <c r="F54" s="555">
        <v>6.7</v>
      </c>
      <c r="G54" s="555">
        <v>6.7</v>
      </c>
      <c r="H54" s="543">
        <v>7</v>
      </c>
      <c r="I54" s="557">
        <f>G54/D54*100</f>
        <v>103.0769230769231</v>
      </c>
      <c r="J54" s="557">
        <f>H54/E54*100</f>
        <v>104.4776119402985</v>
      </c>
    </row>
    <row r="55" spans="1:10" ht="31.5">
      <c r="A55" s="463"/>
      <c r="B55" s="479" t="s">
        <v>287</v>
      </c>
      <c r="C55" s="460" t="s">
        <v>1040</v>
      </c>
      <c r="D55" s="562">
        <v>55.56</v>
      </c>
      <c r="E55" s="565">
        <v>60</v>
      </c>
      <c r="F55" s="565" t="s">
        <v>442</v>
      </c>
      <c r="G55" s="565">
        <v>60</v>
      </c>
      <c r="H55" s="562">
        <v>75</v>
      </c>
      <c r="I55" s="562"/>
      <c r="J55" s="481"/>
    </row>
    <row r="56" spans="1:10" ht="15.75">
      <c r="A56" s="486"/>
      <c r="B56" s="479" t="s">
        <v>135</v>
      </c>
      <c r="C56" s="460" t="s">
        <v>1067</v>
      </c>
      <c r="D56" s="555">
        <v>3.95</v>
      </c>
      <c r="E56" s="555" t="s">
        <v>91</v>
      </c>
      <c r="F56" s="555" t="s">
        <v>91</v>
      </c>
      <c r="G56" s="555" t="s">
        <v>91</v>
      </c>
      <c r="H56" s="562" t="s">
        <v>91</v>
      </c>
      <c r="I56" s="481">
        <v>100</v>
      </c>
      <c r="J56" s="481">
        <v>100</v>
      </c>
    </row>
    <row r="57" spans="1:10" ht="15.75">
      <c r="A57" s="460"/>
      <c r="B57" s="479" t="s">
        <v>136</v>
      </c>
      <c r="C57" s="460" t="s">
        <v>1067</v>
      </c>
      <c r="D57" s="555">
        <v>3.5</v>
      </c>
      <c r="E57" s="555" t="s">
        <v>92</v>
      </c>
      <c r="F57" s="555" t="s">
        <v>92</v>
      </c>
      <c r="G57" s="555" t="s">
        <v>92</v>
      </c>
      <c r="H57" s="562" t="s">
        <v>92</v>
      </c>
      <c r="I57" s="481">
        <v>100</v>
      </c>
      <c r="J57" s="481">
        <v>100</v>
      </c>
    </row>
    <row r="58" spans="1:10" ht="31.5">
      <c r="A58" s="460"/>
      <c r="B58" s="479" t="s">
        <v>904</v>
      </c>
      <c r="C58" s="460" t="s">
        <v>1040</v>
      </c>
      <c r="D58" s="555">
        <v>11</v>
      </c>
      <c r="E58" s="555">
        <v>10.6</v>
      </c>
      <c r="F58" s="555" t="s">
        <v>442</v>
      </c>
      <c r="G58" s="555">
        <v>10.4</v>
      </c>
      <c r="H58" s="562">
        <v>10</v>
      </c>
      <c r="I58" s="481"/>
      <c r="J58" s="481"/>
    </row>
    <row r="59" spans="1:10" ht="31.5">
      <c r="A59" s="460"/>
      <c r="B59" s="479" t="s">
        <v>905</v>
      </c>
      <c r="C59" s="460" t="s">
        <v>1040</v>
      </c>
      <c r="D59" s="555">
        <v>27</v>
      </c>
      <c r="E59" s="555">
        <v>26</v>
      </c>
      <c r="F59" s="555" t="s">
        <v>442</v>
      </c>
      <c r="G59" s="555">
        <v>26.2</v>
      </c>
      <c r="H59" s="562">
        <v>26</v>
      </c>
      <c r="I59" s="481"/>
      <c r="J59" s="481"/>
    </row>
    <row r="60" spans="1:10" ht="15.75">
      <c r="A60" s="460"/>
      <c r="B60" s="479" t="s">
        <v>165</v>
      </c>
      <c r="C60" s="460" t="s">
        <v>288</v>
      </c>
      <c r="D60" s="555">
        <v>11.68</v>
      </c>
      <c r="E60" s="481">
        <v>17</v>
      </c>
      <c r="F60" s="481">
        <v>16.8</v>
      </c>
      <c r="G60" s="481">
        <v>17</v>
      </c>
      <c r="H60" s="551">
        <v>16.8</v>
      </c>
      <c r="I60" s="553">
        <f>G60/D60*100</f>
        <v>145.54794520547944</v>
      </c>
      <c r="J60" s="553">
        <f>H60/G60*100</f>
        <v>98.82352941176471</v>
      </c>
    </row>
    <row r="61" spans="1:10" ht="15.75">
      <c r="A61" s="486"/>
      <c r="B61" s="479" t="s">
        <v>143</v>
      </c>
      <c r="C61" s="460" t="s">
        <v>142</v>
      </c>
      <c r="D61" s="555">
        <v>95</v>
      </c>
      <c r="E61" s="481">
        <v>102</v>
      </c>
      <c r="F61" s="481">
        <v>102</v>
      </c>
      <c r="G61" s="481">
        <v>102</v>
      </c>
      <c r="H61" s="553">
        <v>129</v>
      </c>
      <c r="I61" s="553">
        <f>G61/D61*100</f>
        <v>107.36842105263158</v>
      </c>
      <c r="J61" s="553">
        <f>H61/G61*100</f>
        <v>126.47058823529412</v>
      </c>
    </row>
    <row r="62" spans="1:10" ht="31.5">
      <c r="A62" s="460"/>
      <c r="B62" s="479" t="s">
        <v>144</v>
      </c>
      <c r="C62" s="486" t="s">
        <v>1040</v>
      </c>
      <c r="D62" s="555">
        <v>55.56</v>
      </c>
      <c r="E62" s="481">
        <v>59.65</v>
      </c>
      <c r="F62" s="481">
        <v>59.65</v>
      </c>
      <c r="G62" s="481">
        <v>59.65</v>
      </c>
      <c r="H62" s="562">
        <v>75.44</v>
      </c>
      <c r="I62" s="553">
        <f>G62/D62*100</f>
        <v>107.36141108711304</v>
      </c>
      <c r="J62" s="553">
        <f>H62/G62*100</f>
        <v>126.47108130762783</v>
      </c>
    </row>
    <row r="63" spans="1:10" s="527" customFormat="1" ht="24.75" customHeight="1">
      <c r="A63" s="453" t="s">
        <v>1178</v>
      </c>
      <c r="B63" s="327" t="s">
        <v>145</v>
      </c>
      <c r="C63" s="453"/>
      <c r="D63" s="454"/>
      <c r="E63" s="454"/>
      <c r="F63" s="454"/>
      <c r="G63" s="454"/>
      <c r="H63" s="454"/>
      <c r="I63" s="454"/>
      <c r="J63" s="454"/>
    </row>
    <row r="64" spans="1:10" ht="15.75">
      <c r="A64" s="460"/>
      <c r="B64" s="479" t="s">
        <v>137</v>
      </c>
      <c r="C64" s="460" t="s">
        <v>142</v>
      </c>
      <c r="D64" s="555">
        <v>98</v>
      </c>
      <c r="E64" s="555">
        <v>99</v>
      </c>
      <c r="F64" s="555" t="s">
        <v>442</v>
      </c>
      <c r="G64" s="555">
        <v>99</v>
      </c>
      <c r="H64" s="553">
        <v>100</v>
      </c>
      <c r="I64" s="553">
        <f>G64/D64*100</f>
        <v>101.0204081632653</v>
      </c>
      <c r="J64" s="553">
        <f>H64/G64*100</f>
        <v>101.01010101010101</v>
      </c>
    </row>
    <row r="65" spans="1:10" ht="15.75">
      <c r="A65" s="460"/>
      <c r="B65" s="479" t="s">
        <v>1096</v>
      </c>
      <c r="C65" s="460" t="s">
        <v>190</v>
      </c>
      <c r="D65" s="555">
        <f>(60*4)*12/60</f>
        <v>48</v>
      </c>
      <c r="E65" s="555">
        <f>(60*4)*12/60</f>
        <v>48</v>
      </c>
      <c r="F65" s="555">
        <v>24</v>
      </c>
      <c r="G65" s="555">
        <f>(60*4)*12/60</f>
        <v>48</v>
      </c>
      <c r="H65" s="555">
        <f>(60*4)*12/60</f>
        <v>48</v>
      </c>
      <c r="I65" s="543"/>
      <c r="J65" s="481"/>
    </row>
    <row r="66" spans="1:10" ht="15.75">
      <c r="A66" s="460"/>
      <c r="B66" s="479" t="s">
        <v>138</v>
      </c>
      <c r="C66" s="460" t="s">
        <v>1073</v>
      </c>
      <c r="D66" s="365">
        <v>715870</v>
      </c>
      <c r="E66" s="365">
        <v>731105</v>
      </c>
      <c r="F66" s="365">
        <v>731105</v>
      </c>
      <c r="G66" s="365">
        <v>731105</v>
      </c>
      <c r="H66" s="365">
        <v>731105</v>
      </c>
      <c r="I66" s="543"/>
      <c r="J66" s="481"/>
    </row>
    <row r="67" spans="1:10" ht="15.75">
      <c r="A67" s="460"/>
      <c r="B67" s="479" t="s">
        <v>139</v>
      </c>
      <c r="C67" s="460" t="s">
        <v>1040</v>
      </c>
      <c r="D67" s="555">
        <v>100</v>
      </c>
      <c r="E67" s="555">
        <v>100</v>
      </c>
      <c r="F67" s="555">
        <v>100</v>
      </c>
      <c r="G67" s="555">
        <v>100</v>
      </c>
      <c r="H67" s="555">
        <v>100</v>
      </c>
      <c r="I67" s="562"/>
      <c r="J67" s="481"/>
    </row>
    <row r="68" spans="1:10" ht="15.75">
      <c r="A68" s="460"/>
      <c r="B68" s="479" t="s">
        <v>140</v>
      </c>
      <c r="C68" s="460" t="s">
        <v>1073</v>
      </c>
      <c r="D68" s="365">
        <f>D66</f>
        <v>715870</v>
      </c>
      <c r="E68" s="365">
        <f>E66</f>
        <v>731105</v>
      </c>
      <c r="F68" s="365">
        <f>F66</f>
        <v>731105</v>
      </c>
      <c r="G68" s="365">
        <f>G66</f>
        <v>731105</v>
      </c>
      <c r="H68" s="365">
        <f>H66</f>
        <v>731105</v>
      </c>
      <c r="I68" s="543"/>
      <c r="J68" s="481"/>
    </row>
    <row r="69" spans="1:10" ht="15.75">
      <c r="A69" s="460"/>
      <c r="B69" s="479" t="s">
        <v>141</v>
      </c>
      <c r="C69" s="460" t="s">
        <v>1040</v>
      </c>
      <c r="D69" s="555">
        <v>100</v>
      </c>
      <c r="E69" s="555">
        <v>100</v>
      </c>
      <c r="F69" s="555">
        <v>100</v>
      </c>
      <c r="G69" s="555">
        <v>100</v>
      </c>
      <c r="H69" s="555">
        <v>100</v>
      </c>
      <c r="I69" s="562"/>
      <c r="J69" s="481"/>
    </row>
    <row r="70" spans="1:10" ht="16.5">
      <c r="A70" s="460"/>
      <c r="B70" s="479" t="s">
        <v>779</v>
      </c>
      <c r="C70" s="460" t="s">
        <v>1040</v>
      </c>
      <c r="D70" s="555">
        <v>97</v>
      </c>
      <c r="E70" s="555">
        <v>97</v>
      </c>
      <c r="F70" s="555"/>
      <c r="G70" s="812">
        <v>97.5</v>
      </c>
      <c r="H70" s="812">
        <v>98</v>
      </c>
      <c r="I70" s="562"/>
      <c r="J70" s="481"/>
    </row>
    <row r="71" spans="1:10" ht="16.5">
      <c r="A71" s="460"/>
      <c r="B71" s="479" t="s">
        <v>780</v>
      </c>
      <c r="C71" s="460" t="s">
        <v>1040</v>
      </c>
      <c r="D71" s="555">
        <v>88.8</v>
      </c>
      <c r="E71" s="555">
        <v>88.8</v>
      </c>
      <c r="F71" s="555"/>
      <c r="G71" s="812">
        <v>90</v>
      </c>
      <c r="H71" s="812">
        <v>90</v>
      </c>
      <c r="I71" s="562"/>
      <c r="J71" s="481"/>
    </row>
    <row r="72" spans="1:10" ht="16.5">
      <c r="A72" s="460"/>
      <c r="B72" s="479" t="s">
        <v>781</v>
      </c>
      <c r="C72" s="460" t="s">
        <v>1040</v>
      </c>
      <c r="D72" s="555">
        <v>97</v>
      </c>
      <c r="E72" s="555">
        <v>97</v>
      </c>
      <c r="F72" s="555"/>
      <c r="G72" s="812">
        <v>98</v>
      </c>
      <c r="H72" s="812">
        <v>98</v>
      </c>
      <c r="I72" s="562"/>
      <c r="J72" s="481"/>
    </row>
    <row r="73" spans="1:10" s="527" customFormat="1" ht="23.25" customHeight="1">
      <c r="A73" s="540" t="s">
        <v>1179</v>
      </c>
      <c r="B73" s="327" t="s">
        <v>147</v>
      </c>
      <c r="C73" s="453"/>
      <c r="D73" s="454"/>
      <c r="E73" s="454"/>
      <c r="F73" s="454"/>
      <c r="G73" s="454"/>
      <c r="H73" s="454"/>
      <c r="I73" s="454"/>
      <c r="J73" s="454"/>
    </row>
    <row r="74" spans="1:10" ht="18" customHeight="1">
      <c r="A74" s="567"/>
      <c r="B74" s="568" t="s">
        <v>1074</v>
      </c>
      <c r="C74" s="569"/>
      <c r="D74" s="570"/>
      <c r="E74" s="570"/>
      <c r="F74" s="571"/>
      <c r="G74" s="570"/>
      <c r="H74" s="569"/>
      <c r="I74" s="569"/>
      <c r="J74" s="569"/>
    </row>
    <row r="75" spans="1:10" ht="18" customHeight="1">
      <c r="A75" s="569"/>
      <c r="B75" s="569" t="s">
        <v>976</v>
      </c>
      <c r="C75" s="572" t="s">
        <v>977</v>
      </c>
      <c r="D75" s="573">
        <v>19919</v>
      </c>
      <c r="E75" s="573">
        <f>'[3] Mâmnon'!$G$24</f>
        <v>27747</v>
      </c>
      <c r="F75" s="571"/>
      <c r="G75" s="573">
        <f>'[4] Mâmnon'!$F$32</f>
        <v>22295.266408181615</v>
      </c>
      <c r="H75" s="573">
        <f>'[4] Mâmnon'!$G$32</f>
        <v>27967</v>
      </c>
      <c r="I75" s="574">
        <f>G75/D75*100</f>
        <v>111.9296471117105</v>
      </c>
      <c r="J75" s="574">
        <f>H75/G75*100</f>
        <v>125.43918286500964</v>
      </c>
    </row>
    <row r="76" spans="1:10" ht="18" customHeight="1">
      <c r="A76" s="569"/>
      <c r="B76" s="569" t="s">
        <v>978</v>
      </c>
      <c r="C76" s="572" t="s">
        <v>472</v>
      </c>
      <c r="D76" s="573">
        <v>116030</v>
      </c>
      <c r="E76" s="573">
        <f>'[3] Mâmnon'!$G$28</f>
        <v>116567</v>
      </c>
      <c r="F76" s="571"/>
      <c r="G76" s="573">
        <f>'[4] Mâmnon'!$F$37</f>
        <v>123784.37000000001</v>
      </c>
      <c r="H76" s="573">
        <f>'[4] Mâmnon'!$G$37</f>
        <v>128835</v>
      </c>
      <c r="I76" s="574">
        <f aca="true" t="shared" si="2" ref="I76:I86">G76/D76*100</f>
        <v>106.68307334310092</v>
      </c>
      <c r="J76" s="574">
        <f aca="true" t="shared" si="3" ref="J76:J86">H76/G76*100</f>
        <v>104.08018395214194</v>
      </c>
    </row>
    <row r="77" spans="1:10" ht="18" customHeight="1">
      <c r="A77" s="569"/>
      <c r="B77" s="569" t="s">
        <v>979</v>
      </c>
      <c r="C77" s="572" t="s">
        <v>472</v>
      </c>
      <c r="D77" s="573">
        <v>227267</v>
      </c>
      <c r="E77" s="573">
        <f>'[3]tieuhoc'!$G$15</f>
        <v>220149.26237339003</v>
      </c>
      <c r="F77" s="571"/>
      <c r="G77" s="573">
        <f>'[4]tieuhoc'!$F$21</f>
        <v>229994</v>
      </c>
      <c r="H77" s="573">
        <f>'[5]tieuhoc'!$G$21</f>
        <v>235065</v>
      </c>
      <c r="I77" s="574">
        <f t="shared" si="2"/>
        <v>101.199910237738</v>
      </c>
      <c r="J77" s="574">
        <f t="shared" si="3"/>
        <v>102.20484012626416</v>
      </c>
    </row>
    <row r="78" spans="1:10" ht="15.75">
      <c r="A78" s="569"/>
      <c r="B78" s="569" t="s">
        <v>980</v>
      </c>
      <c r="C78" s="572" t="s">
        <v>472</v>
      </c>
      <c r="D78" s="573">
        <v>152479</v>
      </c>
      <c r="E78" s="573">
        <f>'[3]THCS'!$G$15</f>
        <v>160515</v>
      </c>
      <c r="F78" s="571"/>
      <c r="G78" s="573">
        <f>'[4]THCS'!$F$18</f>
        <v>159716</v>
      </c>
      <c r="H78" s="573">
        <f>'[5]THCS'!$G$18</f>
        <v>162862</v>
      </c>
      <c r="I78" s="574">
        <f t="shared" si="2"/>
        <v>104.74622734933992</v>
      </c>
      <c r="J78" s="574">
        <f t="shared" si="3"/>
        <v>101.96974629968194</v>
      </c>
    </row>
    <row r="79" spans="1:10" ht="15.75">
      <c r="A79" s="569"/>
      <c r="B79" s="569" t="s">
        <v>981</v>
      </c>
      <c r="C79" s="572" t="s">
        <v>472</v>
      </c>
      <c r="D79" s="573">
        <v>73152</v>
      </c>
      <c r="E79" s="573">
        <f>'[3]THPT'!$G$14</f>
        <v>74982</v>
      </c>
      <c r="F79" s="571"/>
      <c r="G79" s="573">
        <f>'[4]THPT'!$F$15</f>
        <v>73166.878</v>
      </c>
      <c r="H79" s="573">
        <f>'[5]THPT'!$G$15</f>
        <v>73591</v>
      </c>
      <c r="I79" s="574">
        <f t="shared" si="2"/>
        <v>100.02033847331585</v>
      </c>
      <c r="J79" s="574">
        <f t="shared" si="3"/>
        <v>100.5796639293534</v>
      </c>
    </row>
    <row r="80" spans="1:10" ht="15.75">
      <c r="A80" s="569"/>
      <c r="B80" s="569"/>
      <c r="C80" s="572"/>
      <c r="D80" s="575"/>
      <c r="E80" s="575"/>
      <c r="F80" s="576"/>
      <c r="G80" s="571"/>
      <c r="H80" s="575"/>
      <c r="I80" s="574"/>
      <c r="J80" s="574"/>
    </row>
    <row r="81" spans="1:10" ht="15.75">
      <c r="A81" s="569"/>
      <c r="B81" s="577" t="s">
        <v>982</v>
      </c>
      <c r="C81" s="572" t="s">
        <v>1040</v>
      </c>
      <c r="D81" s="571">
        <v>0.184</v>
      </c>
      <c r="E81" s="571">
        <f>'[3] Mâmnon'!$G$21</f>
        <v>0.255208709833705</v>
      </c>
      <c r="F81" s="571"/>
      <c r="G81" s="571">
        <f>'[4] Mâmnon'!$F$29</f>
        <v>0.2019751786675959</v>
      </c>
      <c r="H81" s="571">
        <f>'[4] Mâmnon'!$G$29</f>
        <v>0.24999833845456573</v>
      </c>
      <c r="I81" s="571">
        <f>G81/D81</f>
        <v>1.0976911884108473</v>
      </c>
      <c r="J81" s="571">
        <f>H81/E81</f>
        <v>0.979583881041778</v>
      </c>
    </row>
    <row r="82" spans="1:10" ht="15.75">
      <c r="A82" s="569"/>
      <c r="B82" s="577" t="s">
        <v>1097</v>
      </c>
      <c r="C82" s="572" t="s">
        <v>1040</v>
      </c>
      <c r="D82" s="571">
        <f>'[4] Mâmnon'!$E$30</f>
        <v>0.8911984338269646</v>
      </c>
      <c r="E82" s="571">
        <f>'[3] Mâmnon'!$G$22</f>
        <v>0.8845029356391765</v>
      </c>
      <c r="F82" s="571"/>
      <c r="G82" s="571">
        <f>'[6]MOHINH-MAMNON'!$H$26</f>
        <v>0.8930672349542459</v>
      </c>
      <c r="H82" s="571">
        <f>'[4] Mâmnon'!$G$30</f>
        <v>0.9018857664392045</v>
      </c>
      <c r="I82" s="571">
        <f>G82/D82</f>
        <v>1.0020969528854042</v>
      </c>
      <c r="J82" s="571">
        <f>H82/E82</f>
        <v>1.01965265472801</v>
      </c>
    </row>
    <row r="83" spans="1:10" ht="15.75">
      <c r="A83" s="569"/>
      <c r="B83" s="577" t="s">
        <v>983</v>
      </c>
      <c r="C83" s="572"/>
      <c r="D83" s="578"/>
      <c r="E83" s="575"/>
      <c r="F83" s="576"/>
      <c r="G83" s="575"/>
      <c r="H83" s="575"/>
      <c r="I83" s="571"/>
      <c r="J83" s="571"/>
    </row>
    <row r="84" spans="1:10" ht="15.75">
      <c r="A84" s="569"/>
      <c r="B84" s="579" t="s">
        <v>984</v>
      </c>
      <c r="C84" s="572" t="s">
        <v>1040</v>
      </c>
      <c r="D84" s="575">
        <v>99</v>
      </c>
      <c r="E84" s="575">
        <v>99.5</v>
      </c>
      <c r="F84" s="580"/>
      <c r="G84" s="580">
        <v>99.5</v>
      </c>
      <c r="H84" s="575">
        <v>99.5</v>
      </c>
      <c r="I84" s="571">
        <f>G84/D84</f>
        <v>1.005050505050505</v>
      </c>
      <c r="J84" s="571">
        <f>H84/E84</f>
        <v>1</v>
      </c>
    </row>
    <row r="85" spans="1:10" ht="15.75">
      <c r="A85" s="569"/>
      <c r="B85" s="579" t="s">
        <v>985</v>
      </c>
      <c r="C85" s="572" t="s">
        <v>1040</v>
      </c>
      <c r="D85" s="575">
        <v>87.4</v>
      </c>
      <c r="E85" s="575">
        <v>93</v>
      </c>
      <c r="F85" s="580"/>
      <c r="G85" s="580">
        <v>90</v>
      </c>
      <c r="H85" s="575">
        <v>93</v>
      </c>
      <c r="I85" s="571">
        <f>G85/D85</f>
        <v>1.0297482837528604</v>
      </c>
      <c r="J85" s="571">
        <f>H85/E85</f>
        <v>1</v>
      </c>
    </row>
    <row r="86" spans="1:10" ht="31.5">
      <c r="A86" s="569"/>
      <c r="B86" s="581" t="s">
        <v>986</v>
      </c>
      <c r="C86" s="582" t="s">
        <v>987</v>
      </c>
      <c r="D86" s="575">
        <v>260</v>
      </c>
      <c r="E86" s="575">
        <v>280</v>
      </c>
      <c r="F86" s="575"/>
      <c r="G86" s="575">
        <v>286</v>
      </c>
      <c r="H86" s="575">
        <v>300</v>
      </c>
      <c r="I86" s="574">
        <f t="shared" si="2"/>
        <v>110.00000000000001</v>
      </c>
      <c r="J86" s="574">
        <f t="shared" si="3"/>
        <v>104.8951048951049</v>
      </c>
    </row>
    <row r="87" spans="2:3" ht="15.75">
      <c r="B87" s="530"/>
      <c r="C87" s="583"/>
    </row>
    <row r="88" spans="2:3" ht="15.75">
      <c r="B88" s="530"/>
      <c r="C88" s="583"/>
    </row>
    <row r="89" ht="15.75">
      <c r="C89" s="583"/>
    </row>
  </sheetData>
  <sheetProtection/>
  <mergeCells count="9">
    <mergeCell ref="A3:J3"/>
    <mergeCell ref="A5:A6"/>
    <mergeCell ref="B5:B6"/>
    <mergeCell ref="C5:C6"/>
    <mergeCell ref="D5:D6"/>
    <mergeCell ref="E5:G5"/>
    <mergeCell ref="H5:H6"/>
    <mergeCell ref="I5:I6"/>
    <mergeCell ref="J5:J6"/>
  </mergeCells>
  <printOptions horizontalCentered="1"/>
  <pageMargins left="0.2362204724409449" right="0.2362204724409449" top="0.7480314960629921" bottom="0.61" header="0.31496062992125984" footer="0.31496062992125984"/>
  <pageSetup firstPageNumber="1" useFirstPageNumber="1" fitToHeight="4" fitToWidth="1" horizontalDpi="600" verticalDpi="600" orientation="landscape" paperSize="9" scale="98" r:id="rId3"/>
  <headerFooter>
    <oddFooter>&amp;C&amp;P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zoomScale="85" zoomScaleNormal="85" workbookViewId="0" topLeftCell="A1">
      <selection activeCell="A1" sqref="A1"/>
    </sheetView>
  </sheetViews>
  <sheetFormatPr defaultColWidth="9.00390625" defaultRowHeight="15.75"/>
  <cols>
    <col min="1" max="1" width="3.625" style="802" customWidth="1"/>
    <col min="2" max="2" width="45.00390625" style="802" customWidth="1"/>
    <col min="3" max="3" width="6.875" style="802" bestFit="1" customWidth="1"/>
    <col min="4" max="4" width="7.125" style="802" customWidth="1"/>
    <col min="5" max="5" width="7.375" style="802" customWidth="1"/>
    <col min="6" max="6" width="10.50390625" style="802" hidden="1" customWidth="1"/>
    <col min="7" max="7" width="9.00390625" style="802" customWidth="1"/>
    <col min="8" max="8" width="9.75390625" style="802" customWidth="1"/>
    <col min="9" max="9" width="11.50390625" style="802" customWidth="1"/>
    <col min="10" max="10" width="12.375" style="802" customWidth="1"/>
    <col min="11" max="11" width="27.625" style="802" customWidth="1"/>
    <col min="12" max="16384" width="9.00390625" style="802" customWidth="1"/>
  </cols>
  <sheetData>
    <row r="1" spans="1:10" ht="17.25">
      <c r="A1" s="801" t="s">
        <v>1230</v>
      </c>
      <c r="B1" s="801"/>
      <c r="C1" s="801"/>
      <c r="D1" s="801"/>
      <c r="E1" s="801"/>
      <c r="F1" s="801"/>
      <c r="G1" s="801"/>
      <c r="H1" s="801"/>
      <c r="J1" s="803" t="s">
        <v>291</v>
      </c>
    </row>
    <row r="3" spans="1:10" ht="16.5">
      <c r="A3" s="858" t="s">
        <v>105</v>
      </c>
      <c r="B3" s="858"/>
      <c r="C3" s="858"/>
      <c r="D3" s="858"/>
      <c r="E3" s="858"/>
      <c r="F3" s="858"/>
      <c r="G3" s="858"/>
      <c r="H3" s="858"/>
      <c r="I3" s="858"/>
      <c r="J3" s="858"/>
    </row>
    <row r="5" spans="1:10" s="804" customFormat="1" ht="16.5">
      <c r="A5" s="854" t="s">
        <v>1035</v>
      </c>
      <c r="B5" s="854" t="s">
        <v>1036</v>
      </c>
      <c r="C5" s="854" t="s">
        <v>1037</v>
      </c>
      <c r="D5" s="854" t="s">
        <v>640</v>
      </c>
      <c r="E5" s="854" t="s">
        <v>641</v>
      </c>
      <c r="F5" s="854"/>
      <c r="G5" s="854"/>
      <c r="H5" s="854" t="s">
        <v>642</v>
      </c>
      <c r="I5" s="854" t="s">
        <v>643</v>
      </c>
      <c r="J5" s="854" t="s">
        <v>644</v>
      </c>
    </row>
    <row r="6" spans="1:10" s="804" customFormat="1" ht="49.5">
      <c r="A6" s="854"/>
      <c r="B6" s="854"/>
      <c r="C6" s="854"/>
      <c r="D6" s="854"/>
      <c r="E6" s="763" t="s">
        <v>163</v>
      </c>
      <c r="F6" s="763" t="s">
        <v>161</v>
      </c>
      <c r="G6" s="763" t="s">
        <v>95</v>
      </c>
      <c r="H6" s="854"/>
      <c r="I6" s="854"/>
      <c r="J6" s="854"/>
    </row>
    <row r="7" spans="1:10" s="806" customFormat="1" ht="16.5">
      <c r="A7" s="805">
        <v>1</v>
      </c>
      <c r="B7" s="805">
        <v>2</v>
      </c>
      <c r="C7" s="805">
        <v>3</v>
      </c>
      <c r="D7" s="805">
        <v>4</v>
      </c>
      <c r="E7" s="805">
        <v>5</v>
      </c>
      <c r="F7" s="805">
        <v>6</v>
      </c>
      <c r="G7" s="805">
        <v>7</v>
      </c>
      <c r="H7" s="805">
        <v>8</v>
      </c>
      <c r="I7" s="805" t="s">
        <v>1228</v>
      </c>
      <c r="J7" s="805" t="s">
        <v>1229</v>
      </c>
    </row>
    <row r="8" spans="1:10" ht="16.5">
      <c r="A8" s="808">
        <v>1</v>
      </c>
      <c r="B8" s="807" t="s">
        <v>106</v>
      </c>
      <c r="C8" s="808" t="s">
        <v>1040</v>
      </c>
      <c r="D8" s="809">
        <v>93</v>
      </c>
      <c r="E8" s="809">
        <v>95</v>
      </c>
      <c r="F8" s="809">
        <v>95</v>
      </c>
      <c r="G8" s="809">
        <v>95</v>
      </c>
      <c r="H8" s="809">
        <v>100</v>
      </c>
      <c r="I8" s="809"/>
      <c r="J8" s="809"/>
    </row>
    <row r="9" spans="1:10" ht="49.5">
      <c r="A9" s="808">
        <v>2</v>
      </c>
      <c r="B9" s="810" t="s">
        <v>289</v>
      </c>
      <c r="C9" s="808" t="s">
        <v>1040</v>
      </c>
      <c r="D9" s="809"/>
      <c r="E9" s="809"/>
      <c r="F9" s="809"/>
      <c r="G9" s="809"/>
      <c r="H9" s="809"/>
      <c r="I9" s="809"/>
      <c r="J9" s="809"/>
    </row>
    <row r="10" spans="1:10" ht="16.5">
      <c r="A10" s="808">
        <v>3</v>
      </c>
      <c r="B10" s="807" t="s">
        <v>369</v>
      </c>
      <c r="C10" s="808" t="s">
        <v>1040</v>
      </c>
      <c r="D10" s="809">
        <v>100</v>
      </c>
      <c r="E10" s="809">
        <v>100</v>
      </c>
      <c r="F10" s="809">
        <v>100</v>
      </c>
      <c r="G10" s="809">
        <v>100</v>
      </c>
      <c r="H10" s="809">
        <v>100</v>
      </c>
      <c r="I10" s="809"/>
      <c r="J10" s="809"/>
    </row>
    <row r="11" spans="1:10" ht="33">
      <c r="A11" s="808">
        <v>4</v>
      </c>
      <c r="B11" s="807" t="s">
        <v>370</v>
      </c>
      <c r="C11" s="808" t="s">
        <v>1040</v>
      </c>
      <c r="D11" s="809">
        <v>90</v>
      </c>
      <c r="E11" s="809">
        <v>95</v>
      </c>
      <c r="F11" s="809">
        <v>95</v>
      </c>
      <c r="G11" s="809">
        <v>95</v>
      </c>
      <c r="H11" s="809">
        <v>100</v>
      </c>
      <c r="I11" s="809"/>
      <c r="J11" s="809"/>
    </row>
    <row r="12" spans="1:10" ht="16.5">
      <c r="A12" s="808">
        <v>5</v>
      </c>
      <c r="B12" s="807" t="s">
        <v>371</v>
      </c>
      <c r="C12" s="808" t="s">
        <v>1040</v>
      </c>
      <c r="D12" s="809">
        <v>70</v>
      </c>
      <c r="E12" s="809">
        <v>90</v>
      </c>
      <c r="F12" s="809">
        <v>87</v>
      </c>
      <c r="G12" s="620">
        <v>90.2</v>
      </c>
      <c r="H12" s="809">
        <v>90</v>
      </c>
      <c r="I12" s="809"/>
      <c r="J12" s="809"/>
    </row>
    <row r="13" spans="1:10" ht="16.5">
      <c r="A13" s="808">
        <v>6</v>
      </c>
      <c r="B13" s="807" t="s">
        <v>773</v>
      </c>
      <c r="C13" s="808" t="s">
        <v>775</v>
      </c>
      <c r="D13" s="809">
        <v>26</v>
      </c>
      <c r="E13" s="809">
        <v>28</v>
      </c>
      <c r="F13" s="809">
        <v>28</v>
      </c>
      <c r="G13" s="809">
        <v>28</v>
      </c>
      <c r="H13" s="809">
        <v>28</v>
      </c>
      <c r="I13" s="809"/>
      <c r="J13" s="809"/>
    </row>
    <row r="14" spans="1:10" ht="16.5">
      <c r="A14" s="808">
        <v>7</v>
      </c>
      <c r="B14" s="807" t="s">
        <v>774</v>
      </c>
      <c r="C14" s="808" t="s">
        <v>775</v>
      </c>
      <c r="D14" s="809">
        <v>26</v>
      </c>
      <c r="E14" s="809">
        <v>28</v>
      </c>
      <c r="F14" s="809"/>
      <c r="G14" s="809">
        <v>28</v>
      </c>
      <c r="H14" s="809">
        <v>28</v>
      </c>
      <c r="I14" s="809"/>
      <c r="J14" s="809"/>
    </row>
    <row r="15" spans="1:10" ht="33">
      <c r="A15" s="808">
        <v>8</v>
      </c>
      <c r="B15" s="807" t="s">
        <v>604</v>
      </c>
      <c r="C15" s="808" t="s">
        <v>775</v>
      </c>
      <c r="D15" s="437"/>
      <c r="E15" s="437" t="s">
        <v>377</v>
      </c>
      <c r="F15" s="437">
        <v>27</v>
      </c>
      <c r="G15" s="437" t="s">
        <v>376</v>
      </c>
      <c r="H15" s="437" t="s">
        <v>377</v>
      </c>
      <c r="I15" s="809"/>
      <c r="J15" s="809"/>
    </row>
    <row r="16" spans="1:10" ht="33">
      <c r="A16" s="808">
        <v>9</v>
      </c>
      <c r="B16" s="810" t="s">
        <v>605</v>
      </c>
      <c r="C16" s="808" t="s">
        <v>1040</v>
      </c>
      <c r="D16" s="622"/>
      <c r="E16" s="622">
        <v>100</v>
      </c>
      <c r="F16" s="622">
        <v>100</v>
      </c>
      <c r="G16" s="622">
        <v>87.5</v>
      </c>
      <c r="H16" s="622">
        <v>100</v>
      </c>
      <c r="I16" s="809"/>
      <c r="J16" s="809"/>
    </row>
    <row r="17" spans="1:10" ht="49.5">
      <c r="A17" s="808">
        <v>10</v>
      </c>
      <c r="B17" s="810" t="s">
        <v>772</v>
      </c>
      <c r="C17" s="808" t="s">
        <v>1040</v>
      </c>
      <c r="D17" s="625">
        <v>100</v>
      </c>
      <c r="E17" s="625">
        <v>100</v>
      </c>
      <c r="F17" s="625">
        <v>100</v>
      </c>
      <c r="G17" s="625">
        <v>100</v>
      </c>
      <c r="H17" s="625">
        <v>100</v>
      </c>
      <c r="I17" s="809"/>
      <c r="J17" s="809"/>
    </row>
    <row r="18" spans="1:10" ht="16.5">
      <c r="A18" s="856" t="s">
        <v>776</v>
      </c>
      <c r="B18" s="857"/>
      <c r="C18" s="857"/>
      <c r="D18" s="857"/>
      <c r="E18" s="857"/>
      <c r="F18" s="857"/>
      <c r="G18" s="857"/>
      <c r="H18" s="857"/>
      <c r="I18" s="857"/>
      <c r="J18" s="857"/>
    </row>
    <row r="19" spans="1:10" ht="16.5">
      <c r="A19" s="855" t="s">
        <v>777</v>
      </c>
      <c r="B19" s="855"/>
      <c r="C19" s="855"/>
      <c r="D19" s="855"/>
      <c r="E19" s="855"/>
      <c r="F19" s="855"/>
      <c r="G19" s="855"/>
      <c r="H19" s="855"/>
      <c r="I19" s="855"/>
      <c r="J19" s="855"/>
    </row>
  </sheetData>
  <sheetProtection/>
  <mergeCells count="11">
    <mergeCell ref="A3:J3"/>
    <mergeCell ref="A5:A6"/>
    <mergeCell ref="B5:B6"/>
    <mergeCell ref="C5:C6"/>
    <mergeCell ref="D5:D6"/>
    <mergeCell ref="E5:G5"/>
    <mergeCell ref="H5:H6"/>
    <mergeCell ref="I5:I6"/>
    <mergeCell ref="J5:J6"/>
    <mergeCell ref="A19:J19"/>
    <mergeCell ref="A18:J18"/>
  </mergeCells>
  <printOptions horizontalCentered="1"/>
  <pageMargins left="0.2362204724409449" right="0.2362204724409449" top="0.46" bottom="0.58" header="0.31496062992125984" footer="0.31496062992125984"/>
  <pageSetup firstPageNumber="1" useFirstPageNumber="1"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48"/>
  <sheetViews>
    <sheetView zoomScale="70" zoomScaleNormal="70" zoomScalePageLayoutView="0" workbookViewId="0" topLeftCell="A1">
      <selection activeCell="A1" sqref="A1"/>
    </sheetView>
  </sheetViews>
  <sheetFormatPr defaultColWidth="9.00390625" defaultRowHeight="15.75"/>
  <cols>
    <col min="1" max="1" width="3.375" style="1" customWidth="1"/>
    <col min="2" max="2" width="38.625" style="1" customWidth="1"/>
    <col min="3" max="3" width="10.25390625" style="1" customWidth="1"/>
    <col min="4" max="7" width="10.375" style="1" customWidth="1"/>
    <col min="8" max="9" width="13.25390625" style="1" customWidth="1"/>
    <col min="10" max="10" width="27.625" style="1" customWidth="1"/>
    <col min="11" max="16384" width="9.00390625" style="1" customWidth="1"/>
  </cols>
  <sheetData>
    <row r="1" spans="1:9" ht="19.5">
      <c r="A1" s="131" t="s">
        <v>1079</v>
      </c>
      <c r="B1" s="2"/>
      <c r="C1" s="2"/>
      <c r="D1" s="2"/>
      <c r="E1" s="2"/>
      <c r="F1" s="2"/>
      <c r="G1" s="2"/>
      <c r="H1" s="2"/>
      <c r="I1" s="130"/>
    </row>
    <row r="3" spans="1:9" ht="18.75">
      <c r="A3" s="859" t="s">
        <v>186</v>
      </c>
      <c r="B3" s="859"/>
      <c r="C3" s="859"/>
      <c r="D3" s="859"/>
      <c r="E3" s="859"/>
      <c r="F3" s="859"/>
      <c r="G3" s="859"/>
      <c r="H3" s="859"/>
      <c r="I3" s="859"/>
    </row>
    <row r="5" spans="1:9" s="126" customFormat="1" ht="15.75">
      <c r="A5" s="860" t="s">
        <v>1035</v>
      </c>
      <c r="B5" s="860" t="s">
        <v>1036</v>
      </c>
      <c r="C5" s="860" t="s">
        <v>1037</v>
      </c>
      <c r="D5" s="860" t="s">
        <v>640</v>
      </c>
      <c r="E5" s="862" t="s">
        <v>641</v>
      </c>
      <c r="F5" s="863"/>
      <c r="G5" s="860" t="s">
        <v>642</v>
      </c>
      <c r="H5" s="860" t="s">
        <v>643</v>
      </c>
      <c r="I5" s="860" t="s">
        <v>644</v>
      </c>
    </row>
    <row r="6" spans="1:9" s="126" customFormat="1" ht="31.5">
      <c r="A6" s="861"/>
      <c r="B6" s="861"/>
      <c r="C6" s="861"/>
      <c r="D6" s="861"/>
      <c r="E6" s="124" t="s">
        <v>163</v>
      </c>
      <c r="F6" s="124" t="s">
        <v>95</v>
      </c>
      <c r="G6" s="861"/>
      <c r="H6" s="861"/>
      <c r="I6" s="861"/>
    </row>
    <row r="7" spans="1:9" s="133" customFormat="1" ht="15.75">
      <c r="A7" s="132">
        <v>1</v>
      </c>
      <c r="B7" s="132">
        <v>2</v>
      </c>
      <c r="C7" s="132">
        <v>3</v>
      </c>
      <c r="D7" s="132">
        <v>4</v>
      </c>
      <c r="E7" s="132">
        <v>5</v>
      </c>
      <c r="F7" s="132">
        <v>7</v>
      </c>
      <c r="G7" s="132">
        <v>8</v>
      </c>
      <c r="H7" s="132" t="s">
        <v>1228</v>
      </c>
      <c r="I7" s="132" t="s">
        <v>1229</v>
      </c>
    </row>
    <row r="8" spans="1:9" s="4" customFormat="1" ht="15.75">
      <c r="A8" s="103" t="s">
        <v>1042</v>
      </c>
      <c r="B8" s="104" t="s">
        <v>159</v>
      </c>
      <c r="C8" s="105"/>
      <c r="D8" s="108"/>
      <c r="E8" s="108"/>
      <c r="F8" s="108"/>
      <c r="G8" s="108"/>
      <c r="H8" s="108"/>
      <c r="I8" s="108"/>
    </row>
    <row r="9" spans="1:9" s="4" customFormat="1" ht="15.75">
      <c r="A9" s="391" t="s">
        <v>1077</v>
      </c>
      <c r="B9" s="392" t="s">
        <v>907</v>
      </c>
      <c r="C9" s="391"/>
      <c r="D9" s="108"/>
      <c r="E9" s="108"/>
      <c r="F9" s="108"/>
      <c r="G9" s="108"/>
      <c r="H9" s="108"/>
      <c r="I9" s="108"/>
    </row>
    <row r="10" spans="1:9" s="4" customFormat="1" ht="15.75">
      <c r="A10" s="393">
        <v>1</v>
      </c>
      <c r="B10" s="394" t="s">
        <v>908</v>
      </c>
      <c r="C10" s="393" t="s">
        <v>1134</v>
      </c>
      <c r="D10" s="395">
        <v>37</v>
      </c>
      <c r="E10" s="395">
        <v>34</v>
      </c>
      <c r="F10" s="395">
        <v>33</v>
      </c>
      <c r="G10" s="395">
        <v>30</v>
      </c>
      <c r="H10" s="396">
        <f>F10/D10</f>
        <v>0.8918918918918919</v>
      </c>
      <c r="I10" s="396">
        <f>G10/F10</f>
        <v>0.9090909090909091</v>
      </c>
    </row>
    <row r="11" spans="1:9" s="4" customFormat="1" ht="15.75">
      <c r="A11" s="393"/>
      <c r="B11" s="397" t="s">
        <v>909</v>
      </c>
      <c r="C11" s="393"/>
      <c r="D11" s="395"/>
      <c r="E11" s="395"/>
      <c r="F11" s="395"/>
      <c r="G11" s="395"/>
      <c r="H11" s="396"/>
      <c r="I11" s="396"/>
    </row>
    <row r="12" spans="1:9" s="4" customFormat="1" ht="15.75">
      <c r="A12" s="393"/>
      <c r="B12" s="395" t="s">
        <v>910</v>
      </c>
      <c r="C12" s="393"/>
      <c r="D12" s="395">
        <v>12</v>
      </c>
      <c r="E12" s="395">
        <v>11</v>
      </c>
      <c r="F12" s="395">
        <v>11</v>
      </c>
      <c r="G12" s="395">
        <v>7</v>
      </c>
      <c r="H12" s="396">
        <f>F12/D12</f>
        <v>0.9166666666666666</v>
      </c>
      <c r="I12" s="396">
        <f aca="true" t="shared" si="0" ref="I12:I18">G12/F12</f>
        <v>0.6363636363636364</v>
      </c>
    </row>
    <row r="13" spans="1:9" s="4" customFormat="1" ht="15.75">
      <c r="A13" s="393"/>
      <c r="B13" s="395" t="s">
        <v>911</v>
      </c>
      <c r="C13" s="393"/>
      <c r="D13" s="395">
        <v>25</v>
      </c>
      <c r="E13" s="395">
        <v>23</v>
      </c>
      <c r="F13" s="395">
        <v>22</v>
      </c>
      <c r="G13" s="395">
        <v>23</v>
      </c>
      <c r="H13" s="396">
        <f>F13/D13</f>
        <v>0.88</v>
      </c>
      <c r="I13" s="396">
        <f t="shared" si="0"/>
        <v>1.0454545454545454</v>
      </c>
    </row>
    <row r="14" spans="1:9" s="4" customFormat="1" ht="15.75">
      <c r="A14" s="393">
        <v>2</v>
      </c>
      <c r="B14" s="394" t="s">
        <v>912</v>
      </c>
      <c r="C14" s="393" t="s">
        <v>1134</v>
      </c>
      <c r="D14" s="395">
        <v>0</v>
      </c>
      <c r="E14" s="395">
        <v>1</v>
      </c>
      <c r="F14" s="395">
        <v>1</v>
      </c>
      <c r="G14" s="395">
        <v>5</v>
      </c>
      <c r="H14" s="396"/>
      <c r="I14" s="396">
        <f t="shared" si="0"/>
        <v>5</v>
      </c>
    </row>
    <row r="15" spans="1:9" s="4" customFormat="1" ht="47.25">
      <c r="A15" s="393">
        <v>3</v>
      </c>
      <c r="B15" s="398" t="s">
        <v>913</v>
      </c>
      <c r="C15" s="393" t="s">
        <v>1134</v>
      </c>
      <c r="D15" s="395">
        <v>1</v>
      </c>
      <c r="E15" s="395">
        <v>18</v>
      </c>
      <c r="F15" s="395">
        <v>10</v>
      </c>
      <c r="G15" s="395">
        <v>4</v>
      </c>
      <c r="H15" s="396">
        <f>F15/D15</f>
        <v>10</v>
      </c>
      <c r="I15" s="396">
        <f t="shared" si="0"/>
        <v>0.4</v>
      </c>
    </row>
    <row r="16" spans="1:9" s="4" customFormat="1" ht="15.75">
      <c r="A16" s="393">
        <v>4</v>
      </c>
      <c r="B16" s="394" t="s">
        <v>914</v>
      </c>
      <c r="C16" s="393" t="s">
        <v>1038</v>
      </c>
      <c r="D16" s="420">
        <v>7309.4</v>
      </c>
      <c r="E16" s="420">
        <v>7399.138</v>
      </c>
      <c r="F16" s="420">
        <v>7610.8518</v>
      </c>
      <c r="G16" s="420">
        <v>7964.736980000001</v>
      </c>
      <c r="H16" s="396">
        <f>F16/D16</f>
        <v>1.0412416614222784</v>
      </c>
      <c r="I16" s="396">
        <f t="shared" si="0"/>
        <v>1.046497447237115</v>
      </c>
    </row>
    <row r="17" spans="1:9" s="4" customFormat="1" ht="15.75">
      <c r="A17" s="393">
        <v>5</v>
      </c>
      <c r="B17" s="394" t="s">
        <v>915</v>
      </c>
      <c r="C17" s="393" t="s">
        <v>1038</v>
      </c>
      <c r="D17" s="420">
        <v>8521.8</v>
      </c>
      <c r="E17" s="420">
        <v>8603.8</v>
      </c>
      <c r="F17" s="420">
        <v>8603.8</v>
      </c>
      <c r="G17" s="420">
        <v>8603.8</v>
      </c>
      <c r="H17" s="396">
        <f>F17/D17</f>
        <v>1.0096223802483044</v>
      </c>
      <c r="I17" s="396">
        <f t="shared" si="0"/>
        <v>1</v>
      </c>
    </row>
    <row r="18" spans="1:9" s="4" customFormat="1" ht="15.75">
      <c r="A18" s="393">
        <v>6</v>
      </c>
      <c r="B18" s="394" t="s">
        <v>916</v>
      </c>
      <c r="C18" s="393" t="s">
        <v>1038</v>
      </c>
      <c r="D18" s="420">
        <v>2793.2</v>
      </c>
      <c r="E18" s="420">
        <v>2383.799</v>
      </c>
      <c r="F18" s="420">
        <v>2981.8045331381213</v>
      </c>
      <c r="G18" s="420">
        <v>2722.5186375757576</v>
      </c>
      <c r="H18" s="396">
        <f>F18/D18</f>
        <v>1.0675227456458978</v>
      </c>
      <c r="I18" s="396">
        <f t="shared" si="0"/>
        <v>0.9130439662691487</v>
      </c>
    </row>
    <row r="19" spans="1:9" s="4" customFormat="1" ht="15.75">
      <c r="A19" s="399" t="s">
        <v>1080</v>
      </c>
      <c r="B19" s="400" t="s">
        <v>917</v>
      </c>
      <c r="C19" s="399"/>
      <c r="D19" s="108"/>
      <c r="E19" s="108"/>
      <c r="F19" s="108"/>
      <c r="G19" s="108"/>
      <c r="H19" s="396"/>
      <c r="I19" s="401"/>
    </row>
    <row r="20" spans="1:9" s="4" customFormat="1" ht="31.5">
      <c r="A20" s="393">
        <v>1</v>
      </c>
      <c r="B20" s="398" t="s">
        <v>918</v>
      </c>
      <c r="C20" s="393" t="s">
        <v>1134</v>
      </c>
      <c r="D20" s="410">
        <v>18547</v>
      </c>
      <c r="E20" s="410">
        <v>20147</v>
      </c>
      <c r="F20" s="410">
        <v>20197</v>
      </c>
      <c r="G20" s="411">
        <v>20500</v>
      </c>
      <c r="H20" s="412">
        <v>1.09</v>
      </c>
      <c r="I20" s="412">
        <v>1.03</v>
      </c>
    </row>
    <row r="21" spans="1:9" s="413" customFormat="1" ht="15.75">
      <c r="A21" s="408"/>
      <c r="B21" s="409" t="s">
        <v>606</v>
      </c>
      <c r="C21" s="408" t="s">
        <v>1038</v>
      </c>
      <c r="D21" s="410">
        <v>117772</v>
      </c>
      <c r="E21" s="410">
        <v>124772</v>
      </c>
      <c r="F21" s="410">
        <v>125272</v>
      </c>
      <c r="G21" s="411">
        <v>125772</v>
      </c>
      <c r="H21" s="412">
        <v>1.06</v>
      </c>
      <c r="I21" s="412">
        <v>1</v>
      </c>
    </row>
    <row r="22" spans="1:9" s="413" customFormat="1" ht="31.5">
      <c r="A22" s="408"/>
      <c r="B22" s="409" t="s">
        <v>938</v>
      </c>
      <c r="C22" s="408" t="s">
        <v>1134</v>
      </c>
      <c r="D22" s="414">
        <v>2091</v>
      </c>
      <c r="E22" s="415">
        <v>1600</v>
      </c>
      <c r="F22" s="415">
        <v>1650</v>
      </c>
      <c r="G22" s="411">
        <v>1700</v>
      </c>
      <c r="H22" s="412">
        <v>0.79</v>
      </c>
      <c r="I22" s="412">
        <v>1.03</v>
      </c>
    </row>
    <row r="23" spans="1:9" s="419" customFormat="1" ht="31.5">
      <c r="A23" s="416"/>
      <c r="B23" s="417" t="s">
        <v>939</v>
      </c>
      <c r="C23" s="418" t="s">
        <v>1038</v>
      </c>
      <c r="D23" s="410">
        <v>8050</v>
      </c>
      <c r="E23" s="415" t="s">
        <v>936</v>
      </c>
      <c r="F23" s="811">
        <v>16000</v>
      </c>
      <c r="G23" s="411" t="s">
        <v>937</v>
      </c>
      <c r="H23" s="412">
        <v>0.93</v>
      </c>
      <c r="I23" s="412">
        <v>1.07</v>
      </c>
    </row>
    <row r="24" spans="1:9" s="4" customFormat="1" ht="15.75">
      <c r="A24" s="393">
        <v>2</v>
      </c>
      <c r="B24" s="394" t="s">
        <v>919</v>
      </c>
      <c r="C24" s="393" t="s">
        <v>1134</v>
      </c>
      <c r="D24" s="108"/>
      <c r="E24" s="108"/>
      <c r="F24" s="108"/>
      <c r="G24" s="108"/>
      <c r="H24" s="396"/>
      <c r="I24" s="401"/>
    </row>
    <row r="25" spans="1:9" s="4" customFormat="1" ht="15.75">
      <c r="A25" s="402">
        <v>3</v>
      </c>
      <c r="B25" s="394" t="s">
        <v>920</v>
      </c>
      <c r="C25" s="93" t="s">
        <v>1116</v>
      </c>
      <c r="D25" s="108"/>
      <c r="E25" s="108"/>
      <c r="F25" s="108"/>
      <c r="G25" s="108"/>
      <c r="H25" s="396"/>
      <c r="I25" s="401"/>
    </row>
    <row r="26" spans="1:9" s="3" customFormat="1" ht="15.75">
      <c r="A26" s="403"/>
      <c r="B26" s="404" t="s">
        <v>921</v>
      </c>
      <c r="C26" s="132" t="s">
        <v>1116</v>
      </c>
      <c r="D26" s="110"/>
      <c r="E26" s="110"/>
      <c r="F26" s="110"/>
      <c r="G26" s="110"/>
      <c r="H26" s="396"/>
      <c r="I26" s="405"/>
    </row>
    <row r="27" spans="1:9" s="4" customFormat="1" ht="15.75">
      <c r="A27" s="393">
        <v>4</v>
      </c>
      <c r="B27" s="394" t="s">
        <v>922</v>
      </c>
      <c r="C27" s="393" t="s">
        <v>154</v>
      </c>
      <c r="D27" s="108"/>
      <c r="E27" s="108"/>
      <c r="F27" s="108"/>
      <c r="G27" s="108"/>
      <c r="H27" s="396"/>
      <c r="I27" s="401"/>
    </row>
    <row r="28" spans="1:9" s="4" customFormat="1" ht="15.75">
      <c r="A28" s="393">
        <v>5</v>
      </c>
      <c r="B28" s="394" t="s">
        <v>923</v>
      </c>
      <c r="C28" s="393" t="s">
        <v>154</v>
      </c>
      <c r="D28" s="108"/>
      <c r="E28" s="108"/>
      <c r="F28" s="108"/>
      <c r="G28" s="108"/>
      <c r="H28" s="396"/>
      <c r="I28" s="401"/>
    </row>
    <row r="29" spans="1:9" s="4" customFormat="1" ht="15.75">
      <c r="A29" s="393">
        <v>6</v>
      </c>
      <c r="B29" s="394" t="s">
        <v>924</v>
      </c>
      <c r="C29" s="393" t="s">
        <v>154</v>
      </c>
      <c r="D29" s="108"/>
      <c r="E29" s="108"/>
      <c r="F29" s="108"/>
      <c r="G29" s="108"/>
      <c r="H29" s="396"/>
      <c r="I29" s="401"/>
    </row>
    <row r="30" spans="1:9" s="4" customFormat="1" ht="15.75">
      <c r="A30" s="393">
        <v>7</v>
      </c>
      <c r="B30" s="394" t="s">
        <v>925</v>
      </c>
      <c r="C30" s="393" t="s">
        <v>154</v>
      </c>
      <c r="D30" s="108"/>
      <c r="E30" s="108"/>
      <c r="F30" s="108"/>
      <c r="G30" s="108"/>
      <c r="H30" s="396"/>
      <c r="I30" s="401"/>
    </row>
    <row r="31" spans="1:9" s="4" customFormat="1" ht="15.75">
      <c r="A31" s="393">
        <v>8</v>
      </c>
      <c r="B31" s="394" t="s">
        <v>916</v>
      </c>
      <c r="C31" s="393" t="s">
        <v>154</v>
      </c>
      <c r="D31" s="108"/>
      <c r="E31" s="108"/>
      <c r="F31" s="108"/>
      <c r="G31" s="108"/>
      <c r="H31" s="396"/>
      <c r="I31" s="401"/>
    </row>
    <row r="32" spans="1:9" s="4" customFormat="1" ht="31.5">
      <c r="A32" s="393">
        <v>9</v>
      </c>
      <c r="B32" s="398" t="s">
        <v>926</v>
      </c>
      <c r="C32" s="393" t="s">
        <v>154</v>
      </c>
      <c r="D32" s="108"/>
      <c r="E32" s="108"/>
      <c r="F32" s="108"/>
      <c r="G32" s="108"/>
      <c r="H32" s="396"/>
      <c r="I32" s="401"/>
    </row>
    <row r="33" spans="1:9" s="2" customFormat="1" ht="15.75">
      <c r="A33" s="103" t="s">
        <v>1066</v>
      </c>
      <c r="B33" s="104" t="s">
        <v>160</v>
      </c>
      <c r="C33" s="103"/>
      <c r="D33" s="106"/>
      <c r="E33" s="106"/>
      <c r="F33" s="106"/>
      <c r="G33" s="106"/>
      <c r="H33" s="396"/>
      <c r="I33" s="406"/>
    </row>
    <row r="34" spans="1:9" s="4" customFormat="1" ht="15.75">
      <c r="A34" s="105">
        <v>1</v>
      </c>
      <c r="B34" s="107" t="s">
        <v>927</v>
      </c>
      <c r="C34" s="105" t="s">
        <v>1100</v>
      </c>
      <c r="D34" s="118">
        <v>261</v>
      </c>
      <c r="E34" s="118">
        <v>271</v>
      </c>
      <c r="F34" s="118">
        <v>273</v>
      </c>
      <c r="G34" s="118">
        <v>283</v>
      </c>
      <c r="H34" s="396">
        <f>F34/D34</f>
        <v>1.0459770114942528</v>
      </c>
      <c r="I34" s="396">
        <f>G34/F34</f>
        <v>1.0366300366300367</v>
      </c>
    </row>
    <row r="35" spans="1:9" s="3" customFormat="1" ht="15.75">
      <c r="A35" s="109"/>
      <c r="B35" s="129" t="s">
        <v>181</v>
      </c>
      <c r="C35" s="109" t="s">
        <v>1100</v>
      </c>
      <c r="D35" s="118">
        <v>33</v>
      </c>
      <c r="E35" s="118">
        <v>20</v>
      </c>
      <c r="F35" s="118">
        <v>22</v>
      </c>
      <c r="G35" s="118">
        <v>25</v>
      </c>
      <c r="H35" s="396">
        <f>F35/D35</f>
        <v>0.6666666666666666</v>
      </c>
      <c r="I35" s="396">
        <f aca="true" t="shared" si="1" ref="I35:I48">G35/F35</f>
        <v>1.1363636363636365</v>
      </c>
    </row>
    <row r="36" spans="1:9" s="4" customFormat="1" ht="15.75">
      <c r="A36" s="105">
        <v>2</v>
      </c>
      <c r="B36" s="107" t="s">
        <v>928</v>
      </c>
      <c r="C36" s="105" t="s">
        <v>1101</v>
      </c>
      <c r="D36" s="118">
        <v>2</v>
      </c>
      <c r="E36" s="118">
        <v>2</v>
      </c>
      <c r="F36" s="118">
        <v>2</v>
      </c>
      <c r="G36" s="118">
        <v>3</v>
      </c>
      <c r="H36" s="396">
        <f>F36/D36</f>
        <v>1</v>
      </c>
      <c r="I36" s="396">
        <f t="shared" si="1"/>
        <v>1.5</v>
      </c>
    </row>
    <row r="37" spans="1:9" s="3" customFormat="1" ht="15.75">
      <c r="A37" s="109"/>
      <c r="B37" s="129" t="s">
        <v>181</v>
      </c>
      <c r="C37" s="109" t="s">
        <v>1101</v>
      </c>
      <c r="D37" s="118">
        <v>0</v>
      </c>
      <c r="E37" s="118">
        <v>0</v>
      </c>
      <c r="F37" s="118">
        <v>0</v>
      </c>
      <c r="G37" s="118">
        <v>1</v>
      </c>
      <c r="H37" s="396"/>
      <c r="I37" s="396"/>
    </row>
    <row r="38" spans="1:9" s="4" customFormat="1" ht="15.75">
      <c r="A38" s="105">
        <v>3</v>
      </c>
      <c r="B38" s="107" t="s">
        <v>929</v>
      </c>
      <c r="C38" s="93" t="s">
        <v>153</v>
      </c>
      <c r="D38" s="407">
        <v>80583</v>
      </c>
      <c r="E38" s="407">
        <v>85905</v>
      </c>
      <c r="F38" s="407">
        <v>85905</v>
      </c>
      <c r="G38" s="407">
        <v>91300</v>
      </c>
      <c r="H38" s="396">
        <f aca="true" t="shared" si="2" ref="H38:H48">F38/D38</f>
        <v>1.0660437064889616</v>
      </c>
      <c r="I38" s="396">
        <f t="shared" si="1"/>
        <v>1.0628019323671498</v>
      </c>
    </row>
    <row r="39" spans="1:9" s="3" customFormat="1" ht="15.75">
      <c r="A39" s="109"/>
      <c r="B39" s="129" t="s">
        <v>182</v>
      </c>
      <c r="C39" s="109" t="s">
        <v>153</v>
      </c>
      <c r="D39" s="118">
        <v>2375</v>
      </c>
      <c r="E39" s="118">
        <v>5322</v>
      </c>
      <c r="F39" s="118">
        <v>5322</v>
      </c>
      <c r="G39" s="118">
        <v>5395</v>
      </c>
      <c r="H39" s="396">
        <f t="shared" si="2"/>
        <v>2.240842105263158</v>
      </c>
      <c r="I39" s="396">
        <f t="shared" si="1"/>
        <v>1.013716647876738</v>
      </c>
    </row>
    <row r="40" spans="1:9" s="4" customFormat="1" ht="15.75">
      <c r="A40" s="105">
        <v>4</v>
      </c>
      <c r="B40" s="107" t="s">
        <v>930</v>
      </c>
      <c r="C40" s="93" t="s">
        <v>154</v>
      </c>
      <c r="D40" s="407">
        <v>3000</v>
      </c>
      <c r="E40" s="407">
        <v>3200</v>
      </c>
      <c r="F40" s="407">
        <v>3200</v>
      </c>
      <c r="G40" s="407">
        <v>3400</v>
      </c>
      <c r="H40" s="396">
        <f t="shared" si="2"/>
        <v>1.0666666666666667</v>
      </c>
      <c r="I40" s="396">
        <f t="shared" si="1"/>
        <v>1.0625</v>
      </c>
    </row>
    <row r="41" spans="1:9" s="3" customFormat="1" ht="15.75">
      <c r="A41" s="109"/>
      <c r="B41" s="129" t="s">
        <v>931</v>
      </c>
      <c r="C41" s="132" t="s">
        <v>154</v>
      </c>
      <c r="D41" s="118">
        <v>720</v>
      </c>
      <c r="E41" s="118">
        <v>960</v>
      </c>
      <c r="F41" s="118">
        <v>960</v>
      </c>
      <c r="G41" s="118">
        <v>1700</v>
      </c>
      <c r="H41" s="396">
        <f t="shared" si="2"/>
        <v>1.3333333333333333</v>
      </c>
      <c r="I41" s="396">
        <f t="shared" si="1"/>
        <v>1.7708333333333333</v>
      </c>
    </row>
    <row r="42" spans="1:9" s="4" customFormat="1" ht="15.75">
      <c r="A42" s="105">
        <v>5</v>
      </c>
      <c r="B42" s="107" t="s">
        <v>932</v>
      </c>
      <c r="C42" s="93" t="s">
        <v>154</v>
      </c>
      <c r="D42" s="118">
        <f>350*1.2</f>
        <v>420</v>
      </c>
      <c r="E42" s="118">
        <f>370*1.2</f>
        <v>444</v>
      </c>
      <c r="F42" s="118">
        <f>380*1.2</f>
        <v>456</v>
      </c>
      <c r="G42" s="118">
        <f>420*1.2</f>
        <v>504</v>
      </c>
      <c r="H42" s="396">
        <f t="shared" si="2"/>
        <v>1.0857142857142856</v>
      </c>
      <c r="I42" s="396">
        <f t="shared" si="1"/>
        <v>1.105263157894737</v>
      </c>
    </row>
    <row r="43" spans="1:9" s="4" customFormat="1" ht="15.75">
      <c r="A43" s="105">
        <v>6</v>
      </c>
      <c r="B43" s="107" t="s">
        <v>933</v>
      </c>
      <c r="C43" s="93" t="s">
        <v>1116</v>
      </c>
      <c r="D43" s="407">
        <v>1052</v>
      </c>
      <c r="E43" s="407">
        <v>1355</v>
      </c>
      <c r="F43" s="407">
        <v>1365</v>
      </c>
      <c r="G43" s="407">
        <v>1415</v>
      </c>
      <c r="H43" s="396">
        <f t="shared" si="2"/>
        <v>1.2975285171102662</v>
      </c>
      <c r="I43" s="396">
        <f t="shared" si="1"/>
        <v>1.0366300366300367</v>
      </c>
    </row>
    <row r="44" spans="1:9" s="3" customFormat="1" ht="31.5">
      <c r="A44" s="109"/>
      <c r="B44" s="111" t="s">
        <v>184</v>
      </c>
      <c r="C44" s="109" t="s">
        <v>1116</v>
      </c>
      <c r="D44" s="118">
        <v>579</v>
      </c>
      <c r="E44" s="407">
        <v>678</v>
      </c>
      <c r="F44" s="407">
        <v>683</v>
      </c>
      <c r="G44" s="407">
        <v>778</v>
      </c>
      <c r="H44" s="396">
        <f t="shared" si="2"/>
        <v>1.1796200345423142</v>
      </c>
      <c r="I44" s="396">
        <f t="shared" si="1"/>
        <v>1.1390922401171304</v>
      </c>
    </row>
    <row r="45" spans="1:9" s="4" customFormat="1" ht="15.75">
      <c r="A45" s="105"/>
      <c r="B45" s="128" t="s">
        <v>183</v>
      </c>
      <c r="C45" s="132" t="s">
        <v>1116</v>
      </c>
      <c r="D45" s="118">
        <v>234</v>
      </c>
      <c r="E45" s="118">
        <v>312</v>
      </c>
      <c r="F45" s="118">
        <v>314</v>
      </c>
      <c r="G45" s="118">
        <v>340</v>
      </c>
      <c r="H45" s="396">
        <f t="shared" si="2"/>
        <v>1.3418803418803418</v>
      </c>
      <c r="I45" s="396">
        <f t="shared" si="1"/>
        <v>1.0828025477707006</v>
      </c>
    </row>
    <row r="46" spans="1:9" s="4" customFormat="1" ht="15.75">
      <c r="A46" s="105">
        <v>7</v>
      </c>
      <c r="B46" s="107" t="s">
        <v>934</v>
      </c>
      <c r="C46" s="93" t="s">
        <v>1116</v>
      </c>
      <c r="D46" s="407">
        <v>7136</v>
      </c>
      <c r="E46" s="407">
        <v>8036</v>
      </c>
      <c r="F46" s="407">
        <v>8336</v>
      </c>
      <c r="G46" s="407">
        <v>9886</v>
      </c>
      <c r="H46" s="396">
        <f t="shared" si="2"/>
        <v>1.1681614349775784</v>
      </c>
      <c r="I46" s="396">
        <f t="shared" si="1"/>
        <v>1.185940499040307</v>
      </c>
    </row>
    <row r="47" spans="1:9" s="3" customFormat="1" ht="15.75">
      <c r="A47" s="109"/>
      <c r="B47" s="129" t="s">
        <v>180</v>
      </c>
      <c r="C47" s="109" t="s">
        <v>1116</v>
      </c>
      <c r="D47" s="407">
        <v>2854</v>
      </c>
      <c r="E47" s="407">
        <v>3214</v>
      </c>
      <c r="F47" s="407">
        <v>3334</v>
      </c>
      <c r="G47" s="407">
        <v>3954</v>
      </c>
      <c r="H47" s="396">
        <f t="shared" si="2"/>
        <v>1.1681850035038543</v>
      </c>
      <c r="I47" s="396">
        <f t="shared" si="1"/>
        <v>1.1859628074385122</v>
      </c>
    </row>
    <row r="48" spans="1:9" s="4" customFormat="1" ht="16.5" thickBot="1">
      <c r="A48" s="125">
        <v>8</v>
      </c>
      <c r="B48" s="127" t="s">
        <v>935</v>
      </c>
      <c r="C48" s="125" t="s">
        <v>154</v>
      </c>
      <c r="D48" s="118">
        <v>30</v>
      </c>
      <c r="E48" s="118">
        <v>35</v>
      </c>
      <c r="F48" s="118">
        <v>36</v>
      </c>
      <c r="G48" s="118">
        <v>38</v>
      </c>
      <c r="H48" s="396">
        <f t="shared" si="2"/>
        <v>1.2</v>
      </c>
      <c r="I48" s="396">
        <f t="shared" si="1"/>
        <v>1.0555555555555556</v>
      </c>
    </row>
    <row r="49" ht="16.5" thickTop="1"/>
  </sheetData>
  <sheetProtection/>
  <mergeCells count="9">
    <mergeCell ref="A3:I3"/>
    <mergeCell ref="A5:A6"/>
    <mergeCell ref="B5:B6"/>
    <mergeCell ref="C5:C6"/>
    <mergeCell ref="D5:D6"/>
    <mergeCell ref="E5:F5"/>
    <mergeCell ref="G5:G6"/>
    <mergeCell ref="H5:H6"/>
    <mergeCell ref="I5:I6"/>
  </mergeCells>
  <printOptions horizontalCentered="1"/>
  <pageMargins left="0.4" right="0.35" top="0.75" bottom="0.75"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tuanpc</cp:lastModifiedBy>
  <cp:lastPrinted>2014-10-24T01:21:32Z</cp:lastPrinted>
  <dcterms:created xsi:type="dcterms:W3CDTF">2005-06-03T06:49:07Z</dcterms:created>
  <dcterms:modified xsi:type="dcterms:W3CDTF">2015-05-13T01:11:28Z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